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cuments\2026 Database\Land &amp; ECF studies\"/>
    </mc:Choice>
  </mc:AlternateContent>
  <xr:revisionPtr revIDLastSave="0" documentId="13_ncr:1_{D298A0DB-F6D5-421B-8E9C-93E3EA751D2B}" xr6:coauthVersionLast="47" xr6:coauthVersionMax="47" xr10:uidLastSave="{00000000-0000-0000-0000-000000000000}"/>
  <bookViews>
    <workbookView xWindow="-120" yWindow="-120" windowWidth="21840" windowHeight="13020" xr2:uid="{7B6F2073-F4F7-48DE-880E-D9B357F8BCBA}"/>
  </bookViews>
  <sheets>
    <sheet name="Land Analysis" sheetId="2" r:id="rId1"/>
    <sheet name="Sheet1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70" i="2" l="1"/>
  <c r="I69" i="2"/>
  <c r="I68" i="2"/>
  <c r="I67" i="2"/>
  <c r="I66" i="2"/>
  <c r="I65" i="2"/>
  <c r="I64" i="2"/>
  <c r="I63" i="2"/>
  <c r="I62" i="2"/>
  <c r="I61" i="2"/>
  <c r="I52" i="2"/>
  <c r="I51" i="2"/>
  <c r="I50" i="2"/>
  <c r="I49" i="2"/>
  <c r="I48" i="2"/>
  <c r="I47" i="2"/>
  <c r="I46" i="2"/>
  <c r="I45" i="2"/>
  <c r="I42" i="2"/>
  <c r="I41" i="2"/>
  <c r="I40" i="2"/>
  <c r="I39" i="2"/>
  <c r="I38" i="2"/>
  <c r="I37" i="2"/>
  <c r="I36" i="2"/>
  <c r="I35" i="2"/>
  <c r="I34" i="2"/>
  <c r="I33" i="2"/>
  <c r="I32" i="2"/>
  <c r="D72" i="2"/>
  <c r="G72" i="2"/>
  <c r="H72" i="2"/>
  <c r="K72" i="2"/>
  <c r="L72" i="2"/>
  <c r="M72" i="2"/>
  <c r="I79" i="2"/>
  <c r="J79" i="2"/>
  <c r="N79" i="2" s="1"/>
  <c r="I80" i="2"/>
  <c r="J80" i="2"/>
  <c r="N80" i="2" s="1"/>
  <c r="I81" i="2"/>
  <c r="J81" i="2"/>
  <c r="N81" i="2" s="1"/>
  <c r="I82" i="2"/>
  <c r="J82" i="2"/>
  <c r="N82" i="2" s="1"/>
  <c r="I83" i="2"/>
  <c r="J83" i="2"/>
  <c r="N83" i="2" s="1"/>
  <c r="I84" i="2"/>
  <c r="J84" i="2"/>
  <c r="N84" i="2" s="1"/>
  <c r="I85" i="2"/>
  <c r="J85" i="2"/>
  <c r="N85" i="2" s="1"/>
  <c r="I86" i="2"/>
  <c r="J86" i="2"/>
  <c r="N86" i="2" s="1"/>
  <c r="I87" i="2"/>
  <c r="J87" i="2"/>
  <c r="N87" i="2" s="1"/>
  <c r="I88" i="2"/>
  <c r="J88" i="2"/>
  <c r="N88" i="2" s="1"/>
  <c r="I25" i="2"/>
  <c r="I2" i="2"/>
  <c r="J2" i="2"/>
  <c r="I3" i="2"/>
  <c r="J3" i="2"/>
  <c r="I4" i="2"/>
  <c r="J4" i="2"/>
  <c r="I5" i="2"/>
  <c r="J5" i="2"/>
  <c r="I6" i="2"/>
  <c r="J6" i="2"/>
  <c r="I7" i="2"/>
  <c r="J7" i="2"/>
  <c r="I8" i="2"/>
  <c r="J8" i="2"/>
  <c r="I9" i="2"/>
  <c r="J9" i="2"/>
  <c r="I10" i="2"/>
  <c r="J10" i="2"/>
  <c r="I11" i="2"/>
  <c r="J11" i="2"/>
  <c r="I12" i="2"/>
  <c r="J12" i="2"/>
  <c r="I13" i="2"/>
  <c r="J13" i="2"/>
  <c r="I14" i="2"/>
  <c r="J14" i="2"/>
  <c r="I15" i="2"/>
  <c r="J15" i="2"/>
  <c r="I16" i="2"/>
  <c r="J16" i="2"/>
  <c r="I17" i="2"/>
  <c r="J17" i="2"/>
  <c r="N17" i="2" s="1"/>
  <c r="I18" i="2"/>
  <c r="J18" i="2"/>
  <c r="I89" i="2"/>
  <c r="J89" i="2"/>
  <c r="I20" i="2"/>
  <c r="J20" i="2"/>
  <c r="I21" i="2"/>
  <c r="J21" i="2"/>
  <c r="I22" i="2"/>
  <c r="J22" i="2"/>
  <c r="I23" i="2"/>
  <c r="J23" i="2"/>
  <c r="N23" i="2" s="1"/>
  <c r="I24" i="2"/>
  <c r="J24" i="2"/>
  <c r="I26" i="2"/>
  <c r="J26" i="2"/>
  <c r="I27" i="2"/>
  <c r="J27" i="2"/>
  <c r="I28" i="2"/>
  <c r="N28" i="2"/>
  <c r="I29" i="2"/>
  <c r="J29" i="2"/>
  <c r="I30" i="2"/>
  <c r="J30" i="2"/>
  <c r="I31" i="2"/>
  <c r="J31" i="2"/>
  <c r="I73" i="2" l="1"/>
  <c r="J72" i="2"/>
  <c r="M74" i="2" s="1"/>
  <c r="I74" i="2"/>
  <c r="N27" i="2"/>
  <c r="N24" i="2"/>
  <c r="N9" i="2"/>
  <c r="N11" i="2"/>
  <c r="N12" i="2"/>
  <c r="N3" i="2"/>
  <c r="N14" i="2"/>
  <c r="N2" i="2"/>
  <c r="N20" i="2"/>
  <c r="N6" i="2"/>
  <c r="N18" i="2"/>
  <c r="N4" i="2"/>
  <c r="N21" i="2"/>
  <c r="N7" i="2"/>
  <c r="N30" i="2"/>
  <c r="N15" i="2"/>
  <c r="N29" i="2"/>
  <c r="N26" i="2"/>
  <c r="N89" i="2"/>
  <c r="N10" i="2"/>
  <c r="N5" i="2"/>
  <c r="N31" i="2"/>
  <c r="N22" i="2"/>
  <c r="N16" i="2"/>
  <c r="N13" i="2"/>
  <c r="N8" i="2"/>
</calcChain>
</file>

<file path=xl/sharedStrings.xml><?xml version="1.0" encoding="utf-8"?>
<sst xmlns="http://schemas.openxmlformats.org/spreadsheetml/2006/main" count="513" uniqueCount="303">
  <si>
    <t>Parcel Number</t>
  </si>
  <si>
    <t>Street Address</t>
  </si>
  <si>
    <t>Sale Date</t>
  </si>
  <si>
    <t>Sale Price</t>
  </si>
  <si>
    <t>Instr.</t>
  </si>
  <si>
    <t>Terms of Sale</t>
  </si>
  <si>
    <t>Adj. Sale $</t>
  </si>
  <si>
    <t>Asd. when Sold</t>
  </si>
  <si>
    <t>Asd/Adj. Sale</t>
  </si>
  <si>
    <t>Land Residual</t>
  </si>
  <si>
    <t>Est. Land Value</t>
  </si>
  <si>
    <t>Net Acres</t>
  </si>
  <si>
    <t>Total Acres</t>
  </si>
  <si>
    <t>Dollars/Acre</t>
  </si>
  <si>
    <t>Liber/Page</t>
  </si>
  <si>
    <t>Other Parcels in Sale</t>
  </si>
  <si>
    <t>Land Table</t>
  </si>
  <si>
    <t>021-001-000-0400-04</t>
  </si>
  <si>
    <t>9759 WILLITS RD</t>
  </si>
  <si>
    <t>WD</t>
  </si>
  <si>
    <t>03-ARM'S LENGTH</t>
  </si>
  <si>
    <t>1529/1480</t>
  </si>
  <si>
    <t xml:space="preserve">WATERTOWN RESIDENTIAL </t>
  </si>
  <si>
    <t>021-001-000-1200-03</t>
  </si>
  <si>
    <t>7309 FOSTORIA RD</t>
  </si>
  <si>
    <t>1529/1423</t>
  </si>
  <si>
    <t>021-005-000-1000-01</t>
  </si>
  <si>
    <t>2593 W BROWN RD</t>
  </si>
  <si>
    <t>1558/635</t>
  </si>
  <si>
    <t>021-005-000-3100-00</t>
  </si>
  <si>
    <t>SWAFFER RD</t>
  </si>
  <si>
    <t>1555/210</t>
  </si>
  <si>
    <t>021-010-000-0400-07</t>
  </si>
  <si>
    <t>7515 CENTER RD</t>
  </si>
  <si>
    <t>1565/1144</t>
  </si>
  <si>
    <t>021-010-000-0400-08</t>
  </si>
  <si>
    <t>1751 SWAFFER RD</t>
  </si>
  <si>
    <t>1543/92</t>
  </si>
  <si>
    <t>021-010-000-0400-10</t>
  </si>
  <si>
    <t>1556/534</t>
  </si>
  <si>
    <t>021-013-000-0100-05</t>
  </si>
  <si>
    <t>57 MURPHY LAKE RD</t>
  </si>
  <si>
    <t>1560/815</t>
  </si>
  <si>
    <t>021-013-000-1600-00</t>
  </si>
  <si>
    <t>MURPHY LAKE RD</t>
  </si>
  <si>
    <t>QC</t>
  </si>
  <si>
    <t>10-FORECLOSURE</t>
  </si>
  <si>
    <t>1559/211</t>
  </si>
  <si>
    <t>021-017-000-1300-00</t>
  </si>
  <si>
    <t>2676 W MILLINGTON RD</t>
  </si>
  <si>
    <t>1553/876</t>
  </si>
  <si>
    <t>021-019-000-0450-00</t>
  </si>
  <si>
    <t>9029 LANE RD</t>
  </si>
  <si>
    <t>1560/1085</t>
  </si>
  <si>
    <t>021-020-000-1300-00</t>
  </si>
  <si>
    <t>2486 BARNES RD</t>
  </si>
  <si>
    <t>1541/1234</t>
  </si>
  <si>
    <t>021-022-000-1400-00</t>
  </si>
  <si>
    <t>8884 EDWARD RD</t>
  </si>
  <si>
    <t>1530/473</t>
  </si>
  <si>
    <t>1569/531</t>
  </si>
  <si>
    <t>021-024-000-0800-00</t>
  </si>
  <si>
    <t>461 MILLINGTON RD</t>
  </si>
  <si>
    <t>1542/885</t>
  </si>
  <si>
    <t>021-024-000-1600-01</t>
  </si>
  <si>
    <t>BARNES RD</t>
  </si>
  <si>
    <t>19-MULTI PARCEL ARM'S LENGTH</t>
  </si>
  <si>
    <t>1531/818</t>
  </si>
  <si>
    <t>021-024-000-1700-03</t>
  </si>
  <si>
    <t>021-024-000-1800-00</t>
  </si>
  <si>
    <t>8795 FOSTORIA RD</t>
  </si>
  <si>
    <t>1537/1195</t>
  </si>
  <si>
    <t>021-024-000-2000-02</t>
  </si>
  <si>
    <t>242 BARNES RD</t>
  </si>
  <si>
    <t>1534/1056</t>
  </si>
  <si>
    <t>021-024-000-2300-03</t>
  </si>
  <si>
    <t>26 BARNES RD</t>
  </si>
  <si>
    <t>1552/1452</t>
  </si>
  <si>
    <t>021-024-000-2300-04</t>
  </si>
  <si>
    <t>78 BARNES RD</t>
  </si>
  <si>
    <t>1554/687</t>
  </si>
  <si>
    <t>021-024-000-2500-00</t>
  </si>
  <si>
    <t>122 BARNES RD</t>
  </si>
  <si>
    <t>1550/107</t>
  </si>
  <si>
    <t>021-025-000-1500-00</t>
  </si>
  <si>
    <t>9145 FOSTORIA RD</t>
  </si>
  <si>
    <t>1533/600</t>
  </si>
  <si>
    <t>021-025-000-2400-00</t>
  </si>
  <si>
    <t>395 LINCOLN ST</t>
  </si>
  <si>
    <t>1546/792</t>
  </si>
  <si>
    <t>021-026-000-0600-04</t>
  </si>
  <si>
    <t>1239 BARNES RD</t>
  </si>
  <si>
    <t>PTA</t>
  </si>
  <si>
    <t>021-026-000-0600-06</t>
  </si>
  <si>
    <t>1530/37</t>
  </si>
  <si>
    <t>021-026-000-0700-02</t>
  </si>
  <si>
    <t>EDWARD RD</t>
  </si>
  <si>
    <t>1536/53</t>
  </si>
  <si>
    <t>021-026-000-2200-00</t>
  </si>
  <si>
    <t>921 GARFIELD RD</t>
  </si>
  <si>
    <t>1549/154</t>
  </si>
  <si>
    <t>021-027-000-0300-00</t>
  </si>
  <si>
    <t>9200 EDWARD RD</t>
  </si>
  <si>
    <t>1542/783</t>
  </si>
  <si>
    <t>021-031-000-1000-00</t>
  </si>
  <si>
    <t>9810 HART LAKE RD</t>
  </si>
  <si>
    <t>1550/890</t>
  </si>
  <si>
    <t>021-032-000-2500-01</t>
  </si>
  <si>
    <t>9642 NORTH LAKE RD</t>
  </si>
  <si>
    <t>1542/904</t>
  </si>
  <si>
    <t>021-032-000-2700-00</t>
  </si>
  <si>
    <t>9694 NORTH LAKE RD</t>
  </si>
  <si>
    <t>1555/618</t>
  </si>
  <si>
    <t>021-033-000-2000-00</t>
  </si>
  <si>
    <t>9481 OLD NORTH LAKE RD</t>
  </si>
  <si>
    <t>1532/405</t>
  </si>
  <si>
    <t>021-034-000-0800-00</t>
  </si>
  <si>
    <t>9687 CENTER RD</t>
  </si>
  <si>
    <t>09-FAMILY/RELATED ENTITY</t>
  </si>
  <si>
    <t>1547/1075</t>
  </si>
  <si>
    <t>021-035-000-1200-00</t>
  </si>
  <si>
    <t>N CASTLE RD</t>
  </si>
  <si>
    <t>1532/409</t>
  </si>
  <si>
    <t>1533/713</t>
  </si>
  <si>
    <t>021-036-000-0100-01</t>
  </si>
  <si>
    <t>WILLITS RD</t>
  </si>
  <si>
    <t>1552/110</t>
  </si>
  <si>
    <t>021-036-000-3050-00</t>
  </si>
  <si>
    <t>021-036-000-2500-01</t>
  </si>
  <si>
    <t>FOSTORIA RD</t>
  </si>
  <si>
    <t>1533/63</t>
  </si>
  <si>
    <t>021-036-000-2900-03</t>
  </si>
  <si>
    <t>3450 CASTLE RD</t>
  </si>
  <si>
    <t>1545/233</t>
  </si>
  <si>
    <t>Totals:</t>
  </si>
  <si>
    <t>Sale. Ratio =&gt;</t>
  </si>
  <si>
    <t>Average</t>
  </si>
  <si>
    <t>Std. Dev. =&gt;</t>
  </si>
  <si>
    <t>per FF=&gt;</t>
  </si>
  <si>
    <t>per Net Acre=&gt;</t>
  </si>
  <si>
    <t>per SqFt=&gt;</t>
  </si>
  <si>
    <t>Outliers</t>
  </si>
  <si>
    <t xml:space="preserve">Comments </t>
  </si>
  <si>
    <t>021-028-000-1750-03</t>
  </si>
  <si>
    <t>GOODRICH RD</t>
  </si>
  <si>
    <t>1568/690</t>
  </si>
  <si>
    <t>CAINE RD</t>
  </si>
  <si>
    <t>1560/1220</t>
  </si>
  <si>
    <t>HANLAN RD</t>
  </si>
  <si>
    <t>LEE HILL DR</t>
  </si>
  <si>
    <t>1568/9</t>
  </si>
  <si>
    <t>3288 ELBOB LN</t>
  </si>
  <si>
    <t>1568/503</t>
  </si>
  <si>
    <t>6677 PLAIN RD</t>
  </si>
  <si>
    <t>1568/970</t>
  </si>
  <si>
    <t>MAYVILLE RD</t>
  </si>
  <si>
    <t>005-001-000-0300-04*</t>
  </si>
  <si>
    <t>E SANILAC RD</t>
  </si>
  <si>
    <t>1554/1498</t>
  </si>
  <si>
    <t>RMLS 123-24-0012</t>
  </si>
  <si>
    <t>005-005-000-4100-01*</t>
  </si>
  <si>
    <t>LISTED 09.11.24 $245K</t>
  </si>
  <si>
    <t>005-021-000-0800-00*</t>
  </si>
  <si>
    <t>LISTED 01.03.25 $80K</t>
  </si>
  <si>
    <t>005-035-000-1200-00*</t>
  </si>
  <si>
    <t>1558/1389</t>
  </si>
  <si>
    <t xml:space="preserve">LISTED 08.20.24 </t>
  </si>
  <si>
    <t>008-025-000-0100-07*</t>
  </si>
  <si>
    <t>DODGE RD</t>
  </si>
  <si>
    <t>1555/623</t>
  </si>
  <si>
    <t>RMLS 835-24-0019</t>
  </si>
  <si>
    <t>013-009-100-0200-11*</t>
  </si>
  <si>
    <t>WESTERN RIDGE</t>
  </si>
  <si>
    <t>1550/867</t>
  </si>
  <si>
    <t>013-009-100-0200-12</t>
  </si>
  <si>
    <t>2 SUBDIVISION LOTS</t>
  </si>
  <si>
    <t>013-009-100-0200-14*</t>
  </si>
  <si>
    <t>1561/1123</t>
  </si>
  <si>
    <t>1 SUBDIVISION LOT</t>
  </si>
  <si>
    <t>013-009-100-0200-16*</t>
  </si>
  <si>
    <t>1550/970</t>
  </si>
  <si>
    <t>013-011-200-0525-05*</t>
  </si>
  <si>
    <t>GUN CLUB RD</t>
  </si>
  <si>
    <t>1552/1299</t>
  </si>
  <si>
    <t>RMLS 010-24-0006</t>
  </si>
  <si>
    <t>013-022-400-0200-02*</t>
  </si>
  <si>
    <t>MERTZ RD</t>
  </si>
  <si>
    <t>1568/249</t>
  </si>
  <si>
    <t>LISTED 01.05.25 $18K</t>
  </si>
  <si>
    <t>013-033-300-0510-00*</t>
  </si>
  <si>
    <t>LEIX RD</t>
  </si>
  <si>
    <t>1559/225</t>
  </si>
  <si>
    <t>RMLS 038-24-0057</t>
  </si>
  <si>
    <t>014-036-000-3600-01*</t>
  </si>
  <si>
    <t>KILE</t>
  </si>
  <si>
    <t>PART OF</t>
  </si>
  <si>
    <t>N/A</t>
  </si>
  <si>
    <t>1553/729</t>
  </si>
  <si>
    <t>RMLS 835-24-0015</t>
  </si>
  <si>
    <t>014-036-000-3600-02*</t>
  </si>
  <si>
    <t>1564/239</t>
  </si>
  <si>
    <t>RMLS 835-24-0016</t>
  </si>
  <si>
    <t>015-018-000-0300-02*</t>
  </si>
  <si>
    <t>RILEY RD</t>
  </si>
  <si>
    <t>1556/988</t>
  </si>
  <si>
    <t>RMLS 649-24-0005</t>
  </si>
  <si>
    <t>015-026-000-0400-11*</t>
  </si>
  <si>
    <t>LEGG RD</t>
  </si>
  <si>
    <t>1566/1256</t>
  </si>
  <si>
    <t>LISTED 12.02.24 $22,800</t>
  </si>
  <si>
    <t>016-012-000-1700-03*</t>
  </si>
  <si>
    <t>BRIEF RD</t>
  </si>
  <si>
    <t>ARMS LENGTH</t>
  </si>
  <si>
    <t>RMLS 173-24-0024</t>
  </si>
  <si>
    <t>016-030-000-1400-02*</t>
  </si>
  <si>
    <t>1565/1429</t>
  </si>
  <si>
    <t>LISTED 12.03.24 $129,900</t>
  </si>
  <si>
    <t>017-036-000-1550-04*</t>
  </si>
  <si>
    <t>1559/1419</t>
  </si>
  <si>
    <t>018-003-000-0200-03*</t>
  </si>
  <si>
    <t>CHIPPEWA TRAIL</t>
  </si>
  <si>
    <t>MULTI-PARCEL ARMS LENGTH</t>
  </si>
  <si>
    <t>1565/542</t>
  </si>
  <si>
    <t>018-003-000-0200-07</t>
  </si>
  <si>
    <t>LISTED 10.27.24</t>
  </si>
  <si>
    <t>019-023-000-1800-00*</t>
  </si>
  <si>
    <t>SOHN RD</t>
  </si>
  <si>
    <t>1567/510</t>
  </si>
  <si>
    <t>LISTED 11.01.24 $50K</t>
  </si>
  <si>
    <t>020-004-000-0200-10*</t>
  </si>
  <si>
    <t>020-004-000-0200-11</t>
  </si>
  <si>
    <t>LISTED 05.17.24 $97,750</t>
  </si>
  <si>
    <t>021-024-000-2500-00*</t>
  </si>
  <si>
    <t>LISTED 01.26.24 $12K</t>
  </si>
  <si>
    <t>022-021-000-0300-01*</t>
  </si>
  <si>
    <t>BEVENS</t>
  </si>
  <si>
    <t>1564/184</t>
  </si>
  <si>
    <t xml:space="preserve">LISTED 08.13.24 </t>
  </si>
  <si>
    <t>022-022-000-2475-02*</t>
  </si>
  <si>
    <t>3976 PINE RD</t>
  </si>
  <si>
    <t>1565/454</t>
  </si>
  <si>
    <t>RMLS 493-24-0001</t>
  </si>
  <si>
    <t>022-029-000-0600-07*</t>
  </si>
  <si>
    <t xml:space="preserve">UNDERWOOD </t>
  </si>
  <si>
    <t>1553/1021</t>
  </si>
  <si>
    <t>LISTED 05.27.24 $39,900</t>
  </si>
  <si>
    <t>051-007-000-0580-00*</t>
  </si>
  <si>
    <t>ALEXANDER LN</t>
  </si>
  <si>
    <t>1557/839</t>
  </si>
  <si>
    <t>051-007-000-0570-00</t>
  </si>
  <si>
    <t>MLS 61050125323</t>
  </si>
  <si>
    <t>003-029-200-0220-00*</t>
  </si>
  <si>
    <t>BIRCH RUN RD</t>
  </si>
  <si>
    <t>1548/530</t>
  </si>
  <si>
    <t>LISTED 10.20.23 $40K</t>
  </si>
  <si>
    <t>011-020-000-1410-00*</t>
  </si>
  <si>
    <t>CHAMBERS RD</t>
  </si>
  <si>
    <t>MLC</t>
  </si>
  <si>
    <t>1542/1029</t>
  </si>
  <si>
    <t>RMLS 038-23-0020</t>
  </si>
  <si>
    <t>011-020-000-2600-10*</t>
  </si>
  <si>
    <t>SNOVER RD</t>
  </si>
  <si>
    <t>1544/1101</t>
  </si>
  <si>
    <t>LISTED 10.20.23 $119,900</t>
  </si>
  <si>
    <t>011-034-000-2200-01*</t>
  </si>
  <si>
    <t>BROWN RD</t>
  </si>
  <si>
    <t>1546/1257</t>
  </si>
  <si>
    <t>RMLS 781-24-0003</t>
  </si>
  <si>
    <t>013-001-400-0100-05*</t>
  </si>
  <si>
    <t>EAST DAYTON RD</t>
  </si>
  <si>
    <t>1538/159</t>
  </si>
  <si>
    <t>RMLS 665-23-0001</t>
  </si>
  <si>
    <t>013-030-400-0300-08*</t>
  </si>
  <si>
    <t>2946 ATKERSON DR</t>
  </si>
  <si>
    <t>1541/868</t>
  </si>
  <si>
    <t>LISTED 09.19.23 $169,900</t>
  </si>
  <si>
    <t>020-022-000-0475-02*</t>
  </si>
  <si>
    <t>RUPPRECHT RD</t>
  </si>
  <si>
    <t>1535/368</t>
  </si>
  <si>
    <t>RMLS 038-22-0020</t>
  </si>
  <si>
    <t>020-034-000-0800-02*</t>
  </si>
  <si>
    <t>1532/663</t>
  </si>
  <si>
    <t>LISTED 04.03.23 $24,900</t>
  </si>
  <si>
    <t>021-026-000-0700-02*</t>
  </si>
  <si>
    <t>RMLS 068-23-0009</t>
  </si>
  <si>
    <t>021-036-000-2500-01*</t>
  </si>
  <si>
    <t>LISTED 12.13.22 $39,700</t>
  </si>
  <si>
    <t>022-028-000-2700-00*</t>
  </si>
  <si>
    <t xml:space="preserve">HURDS CORNER </t>
  </si>
  <si>
    <t>MULTI-PARCEL</t>
  </si>
  <si>
    <t>1547/193</t>
  </si>
  <si>
    <t>022-028-000-2300-00</t>
  </si>
  <si>
    <t>LISTED 12.20.23 $324,900</t>
  </si>
  <si>
    <t>040-025-000-5000-01*</t>
  </si>
  <si>
    <t>LYNCH DR</t>
  </si>
  <si>
    <t>1530/11</t>
  </si>
  <si>
    <t>LISTED 2020-2022 $20K</t>
  </si>
  <si>
    <t>022-032-000-0800-00*</t>
  </si>
  <si>
    <t>UNDERWOOD RD</t>
  </si>
  <si>
    <t>1535/286</t>
  </si>
  <si>
    <t>POSTED FOR SALE</t>
  </si>
  <si>
    <t xml:space="preserve">*Indicates A county Sale </t>
  </si>
  <si>
    <t>12,530 Per Acre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</si>
</sst>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6" formatCode="&quot;$&quot;#,##0_);[Red]\(&quot;$&quot;#,##0\)"/>
    <numFmt numFmtId="42" formatCode="_(&quot;$&quot;* #,##0_);_(&quot;$&quot;* \(#,##0\);_(&quot;$&quot;* &quot;-&quot;_);_(@_)"/>
    <numFmt numFmtId="164" formatCode="#0.00_);[Red]\(#0.00\)"/>
    <numFmt numFmtId="165" formatCode="mm/dd/yy"/>
    <numFmt numFmtId="166" formatCode="0.00_);[Red]\(0.00\)"/>
  </numFmts>
  <fonts count="3" x14ac:knownFonts="1">
    <font>
      <sz val="11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808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2" fillId="3" borderId="1" xfId="0" applyFont="1" applyFill="1" applyBorder="1"/>
    <xf numFmtId="0" fontId="2" fillId="3" borderId="0" xfId="0" applyFont="1" applyFill="1"/>
    <xf numFmtId="0" fontId="2" fillId="3" borderId="2" xfId="0" applyFont="1" applyFill="1" applyBorder="1"/>
    <xf numFmtId="6" fontId="1" fillId="2" borderId="0" xfId="0" applyNumberFormat="1" applyFont="1" applyFill="1" applyAlignment="1">
      <alignment horizontal="center"/>
    </xf>
    <xf numFmtId="6" fontId="0" fillId="0" borderId="0" xfId="0" applyNumberFormat="1"/>
    <xf numFmtId="6" fontId="2" fillId="3" borderId="1" xfId="0" applyNumberFormat="1" applyFont="1" applyFill="1" applyBorder="1"/>
    <xf numFmtId="6" fontId="2" fillId="3" borderId="0" xfId="0" applyNumberFormat="1" applyFont="1" applyFill="1"/>
    <xf numFmtId="6" fontId="2" fillId="3" borderId="2" xfId="0" applyNumberFormat="1" applyFont="1" applyFill="1" applyBorder="1"/>
    <xf numFmtId="164" fontId="1" fillId="2" borderId="0" xfId="0" applyNumberFormat="1" applyFont="1" applyFill="1" applyAlignment="1">
      <alignment horizontal="center"/>
    </xf>
    <xf numFmtId="164" fontId="0" fillId="0" borderId="0" xfId="0" applyNumberFormat="1"/>
    <xf numFmtId="164" fontId="2" fillId="3" borderId="1" xfId="0" applyNumberFormat="1" applyFont="1" applyFill="1" applyBorder="1"/>
    <xf numFmtId="164" fontId="2" fillId="3" borderId="0" xfId="0" applyNumberFormat="1" applyFont="1" applyFill="1"/>
    <xf numFmtId="164" fontId="2" fillId="3" borderId="2" xfId="0" applyNumberFormat="1" applyFont="1" applyFill="1" applyBorder="1"/>
    <xf numFmtId="165" fontId="1" fillId="2" borderId="0" xfId="0" applyNumberFormat="1" applyFont="1" applyFill="1" applyAlignment="1">
      <alignment horizontal="center"/>
    </xf>
    <xf numFmtId="165" fontId="0" fillId="0" borderId="0" xfId="0" applyNumberFormat="1"/>
    <xf numFmtId="165" fontId="2" fillId="3" borderId="1" xfId="0" applyNumberFormat="1" applyFont="1" applyFill="1" applyBorder="1"/>
    <xf numFmtId="165" fontId="2" fillId="3" borderId="0" xfId="0" applyNumberFormat="1" applyFont="1" applyFill="1"/>
    <xf numFmtId="165" fontId="2" fillId="3" borderId="2" xfId="0" applyNumberFormat="1" applyFont="1" applyFill="1" applyBorder="1"/>
    <xf numFmtId="40" fontId="1" fillId="2" borderId="0" xfId="0" applyNumberFormat="1" applyFont="1" applyFill="1" applyAlignment="1">
      <alignment horizontal="center"/>
    </xf>
    <xf numFmtId="40" fontId="0" fillId="0" borderId="0" xfId="0" applyNumberFormat="1"/>
    <xf numFmtId="40" fontId="2" fillId="3" borderId="1" xfId="0" applyNumberFormat="1" applyFont="1" applyFill="1" applyBorder="1"/>
    <xf numFmtId="40" fontId="2" fillId="3" borderId="0" xfId="0" applyNumberFormat="1" applyFont="1" applyFill="1"/>
    <xf numFmtId="40" fontId="2" fillId="3" borderId="2" xfId="0" applyNumberFormat="1" applyFont="1" applyFill="1" applyBorder="1"/>
    <xf numFmtId="40" fontId="2" fillId="4" borderId="2" xfId="0" applyNumberFormat="1" applyFont="1" applyFill="1" applyBorder="1"/>
    <xf numFmtId="166" fontId="0" fillId="0" borderId="0" xfId="0" applyNumberFormat="1"/>
    <xf numFmtId="42" fontId="0" fillId="0" borderId="0" xfId="0" applyNumberFormat="1"/>
  </cellXfs>
  <cellStyles count="1">
    <cellStyle name="Normal" xfId="0" builtinId="0"/>
  </cellStyles>
  <dxfs count="6">
    <dxf>
      <fill>
        <patternFill>
          <bgColor rgb="FFFFFFFF"/>
        </patternFill>
      </fill>
    </dxf>
    <dxf>
      <fill>
        <patternFill>
          <bgColor rgb="FFA7E4CD"/>
        </patternFill>
      </fill>
    </dxf>
    <dxf>
      <fill>
        <patternFill>
          <bgColor rgb="FFFFFFFF"/>
        </patternFill>
      </fill>
    </dxf>
    <dxf>
      <fill>
        <patternFill>
          <bgColor rgb="FFA7E4CD"/>
        </patternFill>
      </fill>
    </dxf>
    <dxf>
      <fill>
        <patternFill>
          <bgColor rgb="FFFFFFFF"/>
        </patternFill>
      </fill>
    </dxf>
    <dxf>
      <fill>
        <patternFill>
          <bgColor rgb="FFA7E4CD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4786A8-D859-40DA-A4E2-1EDDC54200A8}">
  <dimension ref="A1:AK89"/>
  <sheetViews>
    <sheetView tabSelected="1" topLeftCell="A64" workbookViewId="0">
      <selection activeCell="B77" sqref="B77"/>
    </sheetView>
  </sheetViews>
  <sheetFormatPr defaultRowHeight="15" x14ac:dyDescent="0.25"/>
  <cols>
    <col min="1" max="1" width="19.28515625" customWidth="1"/>
    <col min="2" max="2" width="19.5703125" customWidth="1"/>
    <col min="3" max="3" width="12" style="17" customWidth="1"/>
    <col min="4" max="4" width="14" style="7" customWidth="1"/>
    <col min="5" max="5" width="4.85546875" customWidth="1"/>
    <col min="6" max="6" width="17.5703125" customWidth="1"/>
    <col min="7" max="7" width="10.7109375" style="7" customWidth="1"/>
    <col min="8" max="8" width="10.5703125" style="7" customWidth="1"/>
    <col min="9" max="9" width="9" style="12" customWidth="1"/>
    <col min="10" max="10" width="11.28515625" style="7" customWidth="1"/>
    <col min="11" max="11" width="11" style="7" customWidth="1"/>
    <col min="12" max="12" width="7.5703125" style="22" customWidth="1"/>
    <col min="13" max="13" width="9.5703125" style="22" customWidth="1"/>
    <col min="14" max="14" width="10.85546875" style="7" customWidth="1"/>
    <col min="15" max="15" width="11.85546875" customWidth="1"/>
    <col min="16" max="16" width="19" customWidth="1"/>
    <col min="17" max="17" width="25.140625" customWidth="1"/>
    <col min="18" max="18" width="29.140625" customWidth="1"/>
  </cols>
  <sheetData>
    <row r="1" spans="1:37" x14ac:dyDescent="0.25">
      <c r="A1" s="1" t="s">
        <v>0</v>
      </c>
      <c r="B1" s="1" t="s">
        <v>1</v>
      </c>
      <c r="C1" s="16" t="s">
        <v>2</v>
      </c>
      <c r="D1" s="6" t="s">
        <v>3</v>
      </c>
      <c r="E1" s="1" t="s">
        <v>4</v>
      </c>
      <c r="F1" s="1" t="s">
        <v>5</v>
      </c>
      <c r="G1" s="6" t="s">
        <v>6</v>
      </c>
      <c r="H1" s="6" t="s">
        <v>7</v>
      </c>
      <c r="I1" s="11" t="s">
        <v>8</v>
      </c>
      <c r="J1" s="6" t="s">
        <v>9</v>
      </c>
      <c r="K1" s="6" t="s">
        <v>10</v>
      </c>
      <c r="L1" s="21" t="s">
        <v>11</v>
      </c>
      <c r="M1" s="21" t="s">
        <v>12</v>
      </c>
      <c r="N1" s="6" t="s">
        <v>13</v>
      </c>
      <c r="O1" s="1" t="s">
        <v>14</v>
      </c>
      <c r="P1" s="1" t="s">
        <v>15</v>
      </c>
      <c r="Q1" s="1" t="s">
        <v>16</v>
      </c>
      <c r="R1" s="1" t="s">
        <v>142</v>
      </c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37" x14ac:dyDescent="0.25">
      <c r="A2" t="s">
        <v>23</v>
      </c>
      <c r="B2" t="s">
        <v>24</v>
      </c>
      <c r="C2" s="17">
        <v>45030</v>
      </c>
      <c r="D2" s="7">
        <v>210000</v>
      </c>
      <c r="E2" t="s">
        <v>19</v>
      </c>
      <c r="F2" t="s">
        <v>20</v>
      </c>
      <c r="G2" s="7">
        <v>210000</v>
      </c>
      <c r="H2" s="7">
        <v>83000</v>
      </c>
      <c r="I2" s="12">
        <f t="shared" ref="I2:I31" si="0">H2/G2*100</f>
        <v>39.523809523809526</v>
      </c>
      <c r="J2" s="7">
        <f>G2-149652</f>
        <v>60348</v>
      </c>
      <c r="K2" s="7">
        <v>16292</v>
      </c>
      <c r="L2" s="22">
        <v>1.52</v>
      </c>
      <c r="M2" s="22">
        <v>1.52</v>
      </c>
      <c r="N2" s="7">
        <f t="shared" ref="N2:N31" si="1">J2/L2</f>
        <v>39702.631578947367</v>
      </c>
      <c r="O2" t="s">
        <v>25</v>
      </c>
      <c r="Q2" t="s">
        <v>22</v>
      </c>
    </row>
    <row r="3" spans="1:37" x14ac:dyDescent="0.25">
      <c r="A3" t="s">
        <v>29</v>
      </c>
      <c r="B3" t="s">
        <v>30</v>
      </c>
      <c r="C3" s="17">
        <v>45489</v>
      </c>
      <c r="D3" s="7">
        <v>10350</v>
      </c>
      <c r="E3" t="s">
        <v>19</v>
      </c>
      <c r="F3" t="s">
        <v>20</v>
      </c>
      <c r="G3" s="7">
        <v>10350</v>
      </c>
      <c r="H3" s="7">
        <v>6400</v>
      </c>
      <c r="I3" s="12">
        <f t="shared" si="0"/>
        <v>61.835748792270529</v>
      </c>
      <c r="J3" s="7">
        <f>G3-0</f>
        <v>10350</v>
      </c>
      <c r="K3" s="7">
        <v>12852</v>
      </c>
      <c r="L3" s="22">
        <v>1</v>
      </c>
      <c r="M3" s="22">
        <v>1</v>
      </c>
      <c r="N3" s="7">
        <f t="shared" si="1"/>
        <v>10350</v>
      </c>
      <c r="O3" t="s">
        <v>31</v>
      </c>
      <c r="Q3" t="s">
        <v>22</v>
      </c>
    </row>
    <row r="4" spans="1:37" x14ac:dyDescent="0.25">
      <c r="A4" t="s">
        <v>32</v>
      </c>
      <c r="B4" t="s">
        <v>33</v>
      </c>
      <c r="C4" s="17">
        <v>45646</v>
      </c>
      <c r="D4" s="7">
        <v>175000</v>
      </c>
      <c r="E4" t="s">
        <v>19</v>
      </c>
      <c r="F4" t="s">
        <v>20</v>
      </c>
      <c r="G4" s="7">
        <v>175000</v>
      </c>
      <c r="H4" s="7">
        <v>90200</v>
      </c>
      <c r="I4" s="12">
        <f t="shared" si="0"/>
        <v>51.542857142857144</v>
      </c>
      <c r="J4" s="7">
        <f>G4-162723</f>
        <v>12277</v>
      </c>
      <c r="K4" s="7">
        <v>15850</v>
      </c>
      <c r="L4" s="22">
        <v>2.46</v>
      </c>
      <c r="M4" s="22">
        <v>2.46</v>
      </c>
      <c r="N4" s="7">
        <f t="shared" si="1"/>
        <v>4990.6504065040654</v>
      </c>
      <c r="O4" t="s">
        <v>34</v>
      </c>
      <c r="Q4" t="s">
        <v>22</v>
      </c>
    </row>
    <row r="5" spans="1:37" x14ac:dyDescent="0.25">
      <c r="A5" t="s">
        <v>35</v>
      </c>
      <c r="B5" t="s">
        <v>36</v>
      </c>
      <c r="C5" s="17">
        <v>45257</v>
      </c>
      <c r="D5" s="7">
        <v>212000</v>
      </c>
      <c r="E5" t="s">
        <v>19</v>
      </c>
      <c r="F5" t="s">
        <v>20</v>
      </c>
      <c r="G5" s="7">
        <v>212000</v>
      </c>
      <c r="H5" s="7">
        <v>61500</v>
      </c>
      <c r="I5" s="12">
        <f t="shared" si="0"/>
        <v>29.009433962264154</v>
      </c>
      <c r="J5" s="7">
        <f>G5-87431</f>
        <v>124569</v>
      </c>
      <c r="K5" s="7">
        <v>35477</v>
      </c>
      <c r="L5" s="22">
        <v>10.01</v>
      </c>
      <c r="M5" s="22">
        <v>10.01</v>
      </c>
      <c r="N5" s="7">
        <f t="shared" si="1"/>
        <v>12444.455544455544</v>
      </c>
      <c r="O5" t="s">
        <v>37</v>
      </c>
      <c r="Q5" t="s">
        <v>22</v>
      </c>
    </row>
    <row r="6" spans="1:37" x14ac:dyDescent="0.25">
      <c r="A6" t="s">
        <v>38</v>
      </c>
      <c r="B6" t="s">
        <v>30</v>
      </c>
      <c r="C6" s="17">
        <v>45505</v>
      </c>
      <c r="D6" s="7">
        <v>58000</v>
      </c>
      <c r="E6" t="s">
        <v>19</v>
      </c>
      <c r="F6" t="s">
        <v>20</v>
      </c>
      <c r="G6" s="7">
        <v>58000</v>
      </c>
      <c r="H6" s="7">
        <v>15300</v>
      </c>
      <c r="I6" s="12">
        <f t="shared" si="0"/>
        <v>26.379310344827587</v>
      </c>
      <c r="J6" s="7">
        <f>G6-0</f>
        <v>58000</v>
      </c>
      <c r="K6" s="7">
        <v>30537</v>
      </c>
      <c r="L6" s="22">
        <v>10.01</v>
      </c>
      <c r="M6" s="22">
        <v>10.01</v>
      </c>
      <c r="N6" s="7">
        <f t="shared" si="1"/>
        <v>5794.2057942057945</v>
      </c>
      <c r="O6" t="s">
        <v>39</v>
      </c>
      <c r="Q6" t="s">
        <v>22</v>
      </c>
    </row>
    <row r="7" spans="1:37" x14ac:dyDescent="0.25">
      <c r="A7" t="s">
        <v>40</v>
      </c>
      <c r="B7" t="s">
        <v>41</v>
      </c>
      <c r="C7" s="17">
        <v>45545</v>
      </c>
      <c r="D7" s="7">
        <v>153000</v>
      </c>
      <c r="E7" t="s">
        <v>19</v>
      </c>
      <c r="F7" t="s">
        <v>20</v>
      </c>
      <c r="G7" s="7">
        <v>153000</v>
      </c>
      <c r="H7" s="7">
        <v>57000</v>
      </c>
      <c r="I7" s="12">
        <f t="shared" si="0"/>
        <v>37.254901960784316</v>
      </c>
      <c r="J7" s="7">
        <f>G7-82270</f>
        <v>70730</v>
      </c>
      <c r="K7" s="7">
        <v>30298</v>
      </c>
      <c r="L7" s="22">
        <v>10.27</v>
      </c>
      <c r="M7" s="22">
        <v>10.27</v>
      </c>
      <c r="N7" s="7">
        <f t="shared" si="1"/>
        <v>6887.0496592015579</v>
      </c>
      <c r="O7" t="s">
        <v>42</v>
      </c>
      <c r="Q7" t="s">
        <v>22</v>
      </c>
    </row>
    <row r="8" spans="1:37" x14ac:dyDescent="0.25">
      <c r="A8" t="s">
        <v>43</v>
      </c>
      <c r="B8" t="s">
        <v>44</v>
      </c>
      <c r="C8" s="17">
        <v>45546</v>
      </c>
      <c r="D8" s="7">
        <v>23250</v>
      </c>
      <c r="E8" t="s">
        <v>45</v>
      </c>
      <c r="F8" t="s">
        <v>46</v>
      </c>
      <c r="G8" s="7">
        <v>23250</v>
      </c>
      <c r="H8" s="7">
        <v>8400</v>
      </c>
      <c r="I8" s="12">
        <f t="shared" si="0"/>
        <v>36.129032258064512</v>
      </c>
      <c r="J8" s="7">
        <f>G8-0</f>
        <v>23250</v>
      </c>
      <c r="K8" s="7">
        <v>16887</v>
      </c>
      <c r="L8" s="22">
        <v>3.25</v>
      </c>
      <c r="M8" s="22">
        <v>3.25</v>
      </c>
      <c r="N8" s="7">
        <f t="shared" si="1"/>
        <v>7153.8461538461543</v>
      </c>
      <c r="O8" t="s">
        <v>47</v>
      </c>
      <c r="Q8" t="s">
        <v>22</v>
      </c>
    </row>
    <row r="9" spans="1:37" x14ac:dyDescent="0.25">
      <c r="A9" t="s">
        <v>51</v>
      </c>
      <c r="B9" t="s">
        <v>52</v>
      </c>
      <c r="C9" s="17">
        <v>45569</v>
      </c>
      <c r="D9" s="7">
        <v>150000</v>
      </c>
      <c r="E9" t="s">
        <v>19</v>
      </c>
      <c r="F9" t="s">
        <v>20</v>
      </c>
      <c r="G9" s="7">
        <v>150000</v>
      </c>
      <c r="H9" s="7">
        <v>46700</v>
      </c>
      <c r="I9" s="12">
        <f t="shared" si="0"/>
        <v>31.133333333333336</v>
      </c>
      <c r="J9" s="7">
        <f>G9-63435</f>
        <v>86565</v>
      </c>
      <c r="K9" s="7">
        <v>29755</v>
      </c>
      <c r="L9" s="22">
        <v>10.01</v>
      </c>
      <c r="M9" s="22">
        <v>10.01</v>
      </c>
      <c r="N9" s="7">
        <f t="shared" si="1"/>
        <v>8647.8521478521488</v>
      </c>
      <c r="O9" t="s">
        <v>53</v>
      </c>
      <c r="Q9" t="s">
        <v>22</v>
      </c>
    </row>
    <row r="10" spans="1:37" x14ac:dyDescent="0.25">
      <c r="A10" t="s">
        <v>54</v>
      </c>
      <c r="B10" t="s">
        <v>55</v>
      </c>
      <c r="C10" s="17">
        <v>45231</v>
      </c>
      <c r="D10" s="7">
        <v>193000</v>
      </c>
      <c r="E10" t="s">
        <v>19</v>
      </c>
      <c r="F10" t="s">
        <v>20</v>
      </c>
      <c r="G10" s="7">
        <v>193000</v>
      </c>
      <c r="H10" s="7">
        <v>87100</v>
      </c>
      <c r="I10" s="12">
        <f t="shared" si="0"/>
        <v>45.129533678756481</v>
      </c>
      <c r="J10" s="7">
        <f>G10-159485</f>
        <v>33515</v>
      </c>
      <c r="K10" s="7">
        <v>14709</v>
      </c>
      <c r="L10" s="22">
        <v>0.97</v>
      </c>
      <c r="M10" s="22">
        <v>0.97</v>
      </c>
      <c r="N10" s="7">
        <f t="shared" si="1"/>
        <v>34551.546391752578</v>
      </c>
      <c r="O10" t="s">
        <v>56</v>
      </c>
      <c r="Q10" t="s">
        <v>22</v>
      </c>
    </row>
    <row r="11" spans="1:37" x14ac:dyDescent="0.25">
      <c r="A11" t="s">
        <v>57</v>
      </c>
      <c r="B11" t="s">
        <v>58</v>
      </c>
      <c r="C11" s="17">
        <v>45036</v>
      </c>
      <c r="D11" s="7">
        <v>189900</v>
      </c>
      <c r="E11" t="s">
        <v>19</v>
      </c>
      <c r="F11" t="s">
        <v>20</v>
      </c>
      <c r="G11" s="7">
        <v>189900</v>
      </c>
      <c r="H11" s="7">
        <v>92700</v>
      </c>
      <c r="I11" s="12">
        <f t="shared" si="0"/>
        <v>48.81516587677725</v>
      </c>
      <c r="J11" s="7">
        <f>G11-177817</f>
        <v>12083</v>
      </c>
      <c r="K11" s="7">
        <v>7582</v>
      </c>
      <c r="L11" s="22">
        <v>0.4</v>
      </c>
      <c r="M11" s="22">
        <v>0.4</v>
      </c>
      <c r="N11" s="7">
        <f t="shared" si="1"/>
        <v>30207.5</v>
      </c>
      <c r="O11" t="s">
        <v>59</v>
      </c>
      <c r="Q11" t="s">
        <v>22</v>
      </c>
    </row>
    <row r="12" spans="1:37" x14ac:dyDescent="0.25">
      <c r="A12" t="s">
        <v>57</v>
      </c>
      <c r="B12" t="s">
        <v>58</v>
      </c>
      <c r="C12" s="17">
        <v>45726</v>
      </c>
      <c r="D12" s="7">
        <v>220000</v>
      </c>
      <c r="E12" t="s">
        <v>19</v>
      </c>
      <c r="F12" t="s">
        <v>20</v>
      </c>
      <c r="G12" s="7">
        <v>220000</v>
      </c>
      <c r="H12" s="7">
        <v>109100</v>
      </c>
      <c r="I12" s="12">
        <f t="shared" si="0"/>
        <v>49.590909090909093</v>
      </c>
      <c r="J12" s="7">
        <f>G12-216491</f>
        <v>3509</v>
      </c>
      <c r="K12" s="7">
        <v>6493</v>
      </c>
      <c r="L12" s="22">
        <v>0.4</v>
      </c>
      <c r="M12" s="22">
        <v>0.4</v>
      </c>
      <c r="N12" s="7">
        <f t="shared" si="1"/>
        <v>8772.5</v>
      </c>
      <c r="O12" t="s">
        <v>60</v>
      </c>
      <c r="Q12" t="s">
        <v>22</v>
      </c>
    </row>
    <row r="13" spans="1:37" x14ac:dyDescent="0.25">
      <c r="A13" t="s">
        <v>61</v>
      </c>
      <c r="B13" t="s">
        <v>62</v>
      </c>
      <c r="C13" s="17">
        <v>45244</v>
      </c>
      <c r="D13" s="7">
        <v>224000</v>
      </c>
      <c r="E13" t="s">
        <v>19</v>
      </c>
      <c r="F13" t="s">
        <v>20</v>
      </c>
      <c r="G13" s="7">
        <v>224000</v>
      </c>
      <c r="H13" s="7">
        <v>108700</v>
      </c>
      <c r="I13" s="12">
        <f t="shared" si="0"/>
        <v>48.526785714285715</v>
      </c>
      <c r="J13" s="7">
        <f>G13-201972</f>
        <v>22028</v>
      </c>
      <c r="K13" s="7">
        <v>15394</v>
      </c>
      <c r="L13" s="22">
        <v>1.1100000000000001</v>
      </c>
      <c r="M13" s="22">
        <v>1.1100000000000001</v>
      </c>
      <c r="N13" s="7">
        <f t="shared" si="1"/>
        <v>19845.045045045044</v>
      </c>
      <c r="O13" t="s">
        <v>63</v>
      </c>
      <c r="Q13" t="s">
        <v>22</v>
      </c>
    </row>
    <row r="14" spans="1:37" x14ac:dyDescent="0.25">
      <c r="A14" t="s">
        <v>72</v>
      </c>
      <c r="B14" t="s">
        <v>73</v>
      </c>
      <c r="C14" s="17">
        <v>45106</v>
      </c>
      <c r="D14" s="7">
        <v>324900</v>
      </c>
      <c r="E14" t="s">
        <v>19</v>
      </c>
      <c r="F14" t="s">
        <v>20</v>
      </c>
      <c r="G14" s="7">
        <v>324900</v>
      </c>
      <c r="H14" s="7">
        <v>74700</v>
      </c>
      <c r="I14" s="12">
        <f t="shared" si="0"/>
        <v>22.991689750692519</v>
      </c>
      <c r="J14" s="7">
        <f>G14-113932</f>
        <v>210968</v>
      </c>
      <c r="K14" s="7">
        <v>35452</v>
      </c>
      <c r="L14" s="22">
        <v>10</v>
      </c>
      <c r="M14" s="22">
        <v>10</v>
      </c>
      <c r="N14" s="7">
        <f t="shared" si="1"/>
        <v>21096.799999999999</v>
      </c>
      <c r="O14" t="s">
        <v>74</v>
      </c>
      <c r="Q14" t="s">
        <v>22</v>
      </c>
    </row>
    <row r="15" spans="1:37" x14ac:dyDescent="0.25">
      <c r="A15" t="s">
        <v>75</v>
      </c>
      <c r="B15" t="s">
        <v>76</v>
      </c>
      <c r="C15" s="17">
        <v>45446</v>
      </c>
      <c r="D15" s="7">
        <v>280000</v>
      </c>
      <c r="E15" t="s">
        <v>19</v>
      </c>
      <c r="F15" t="s">
        <v>20</v>
      </c>
      <c r="G15" s="7">
        <v>280000</v>
      </c>
      <c r="H15" s="7">
        <v>107200</v>
      </c>
      <c r="I15" s="12">
        <f t="shared" si="0"/>
        <v>38.285714285714285</v>
      </c>
      <c r="J15" s="7">
        <f>G15-193119</f>
        <v>86881</v>
      </c>
      <c r="K15" s="7">
        <v>18439</v>
      </c>
      <c r="L15" s="22">
        <v>4.1399999999999997</v>
      </c>
      <c r="M15" s="22">
        <v>4.1399999999999997</v>
      </c>
      <c r="N15" s="7">
        <f t="shared" si="1"/>
        <v>20985.748792270533</v>
      </c>
      <c r="O15" t="s">
        <v>77</v>
      </c>
      <c r="Q15" t="s">
        <v>22</v>
      </c>
    </row>
    <row r="16" spans="1:37" x14ac:dyDescent="0.25">
      <c r="A16" t="s">
        <v>78</v>
      </c>
      <c r="B16" t="s">
        <v>79</v>
      </c>
      <c r="C16" s="17">
        <v>45471</v>
      </c>
      <c r="D16" s="7">
        <v>250000</v>
      </c>
      <c r="E16" t="s">
        <v>19</v>
      </c>
      <c r="F16" t="s">
        <v>20</v>
      </c>
      <c r="G16" s="7">
        <v>250000</v>
      </c>
      <c r="H16" s="7">
        <v>98900</v>
      </c>
      <c r="I16" s="12">
        <f t="shared" si="0"/>
        <v>39.56</v>
      </c>
      <c r="J16" s="7">
        <f>G16-174978</f>
        <v>75022</v>
      </c>
      <c r="K16" s="7">
        <v>20662</v>
      </c>
      <c r="L16" s="22">
        <v>5.79</v>
      </c>
      <c r="M16" s="22">
        <v>5.79</v>
      </c>
      <c r="N16" s="7">
        <f t="shared" si="1"/>
        <v>12957.167530224526</v>
      </c>
      <c r="O16" t="s">
        <v>80</v>
      </c>
      <c r="Q16" t="s">
        <v>22</v>
      </c>
    </row>
    <row r="17" spans="1:18" x14ac:dyDescent="0.25">
      <c r="A17" t="s">
        <v>81</v>
      </c>
      <c r="B17" t="s">
        <v>82</v>
      </c>
      <c r="C17" s="17">
        <v>45390</v>
      </c>
      <c r="D17" s="7">
        <v>10000</v>
      </c>
      <c r="E17" t="s">
        <v>19</v>
      </c>
      <c r="F17" t="s">
        <v>20</v>
      </c>
      <c r="G17" s="7">
        <v>10000</v>
      </c>
      <c r="H17" s="7">
        <v>7500</v>
      </c>
      <c r="I17" s="12">
        <f t="shared" si="0"/>
        <v>75</v>
      </c>
      <c r="J17" s="7">
        <f>G17-6721</f>
        <v>3279</v>
      </c>
      <c r="K17" s="7">
        <v>8354</v>
      </c>
      <c r="L17" s="22">
        <v>0.65</v>
      </c>
      <c r="M17" s="22">
        <v>0.65</v>
      </c>
      <c r="N17" s="7">
        <f t="shared" si="1"/>
        <v>5044.6153846153848</v>
      </c>
      <c r="O17" t="s">
        <v>83</v>
      </c>
      <c r="Q17" t="s">
        <v>22</v>
      </c>
    </row>
    <row r="18" spans="1:18" x14ac:dyDescent="0.25">
      <c r="A18" t="s">
        <v>84</v>
      </c>
      <c r="B18" t="s">
        <v>85</v>
      </c>
      <c r="C18" s="17">
        <v>45090</v>
      </c>
      <c r="D18" s="7">
        <v>150000</v>
      </c>
      <c r="E18" t="s">
        <v>19</v>
      </c>
      <c r="F18" t="s">
        <v>20</v>
      </c>
      <c r="G18" s="7">
        <v>150000</v>
      </c>
      <c r="H18" s="7">
        <v>68300</v>
      </c>
      <c r="I18" s="12">
        <f t="shared" si="0"/>
        <v>45.533333333333331</v>
      </c>
      <c r="J18" s="7">
        <f>G18-126798</f>
        <v>23202</v>
      </c>
      <c r="K18" s="7">
        <v>9857</v>
      </c>
      <c r="L18" s="22">
        <v>0.65</v>
      </c>
      <c r="M18" s="22">
        <v>0.65</v>
      </c>
      <c r="N18" s="7">
        <f t="shared" si="1"/>
        <v>35695.384615384617</v>
      </c>
      <c r="O18" t="s">
        <v>86</v>
      </c>
      <c r="Q18" t="s">
        <v>22</v>
      </c>
    </row>
    <row r="20" spans="1:18" x14ac:dyDescent="0.25">
      <c r="A20" t="s">
        <v>90</v>
      </c>
      <c r="B20" t="s">
        <v>91</v>
      </c>
      <c r="C20" s="17">
        <v>45553</v>
      </c>
      <c r="D20" s="7">
        <v>259900</v>
      </c>
      <c r="E20" t="s">
        <v>92</v>
      </c>
      <c r="F20" t="s">
        <v>20</v>
      </c>
      <c r="G20" s="7">
        <v>259900</v>
      </c>
      <c r="H20" s="7">
        <v>82800</v>
      </c>
      <c r="I20" s="12">
        <f t="shared" si="0"/>
        <v>31.858407079646017</v>
      </c>
      <c r="J20" s="7">
        <f>G20-147575</f>
        <v>112325</v>
      </c>
      <c r="K20" s="7">
        <v>15354</v>
      </c>
      <c r="L20" s="22">
        <v>3.26</v>
      </c>
      <c r="M20" s="22">
        <v>3.26</v>
      </c>
      <c r="N20" s="7">
        <f t="shared" si="1"/>
        <v>34455.52147239264</v>
      </c>
      <c r="Q20" t="s">
        <v>22</v>
      </c>
    </row>
    <row r="21" spans="1:18" x14ac:dyDescent="0.25">
      <c r="A21" t="s">
        <v>93</v>
      </c>
      <c r="B21" t="s">
        <v>65</v>
      </c>
      <c r="C21" s="17">
        <v>45030</v>
      </c>
      <c r="D21" s="7">
        <v>25000</v>
      </c>
      <c r="E21" t="s">
        <v>19</v>
      </c>
      <c r="F21" t="s">
        <v>20</v>
      </c>
      <c r="G21" s="7">
        <v>25000</v>
      </c>
      <c r="H21" s="7">
        <v>11800</v>
      </c>
      <c r="I21" s="12">
        <f t="shared" si="0"/>
        <v>47.199999999999996</v>
      </c>
      <c r="J21" s="7">
        <f>G21-0</f>
        <v>25000</v>
      </c>
      <c r="K21" s="7">
        <v>23664</v>
      </c>
      <c r="L21" s="22">
        <v>4.8899999999999997</v>
      </c>
      <c r="M21" s="22">
        <v>4.8899999999999997</v>
      </c>
      <c r="N21" s="7">
        <f t="shared" si="1"/>
        <v>5112.4744376278122</v>
      </c>
      <c r="O21" t="s">
        <v>94</v>
      </c>
      <c r="Q21" t="s">
        <v>22</v>
      </c>
    </row>
    <row r="22" spans="1:18" x14ac:dyDescent="0.25">
      <c r="A22" t="s">
        <v>95</v>
      </c>
      <c r="B22" t="s">
        <v>96</v>
      </c>
      <c r="C22" s="17">
        <v>45132</v>
      </c>
      <c r="D22" s="7">
        <v>52000</v>
      </c>
      <c r="E22" t="s">
        <v>19</v>
      </c>
      <c r="F22" t="s">
        <v>20</v>
      </c>
      <c r="G22" s="7">
        <v>52000</v>
      </c>
      <c r="H22" s="7">
        <v>19000</v>
      </c>
      <c r="I22" s="12">
        <f t="shared" si="0"/>
        <v>36.538461538461533</v>
      </c>
      <c r="J22" s="7">
        <f>G22-0</f>
        <v>52000</v>
      </c>
      <c r="K22" s="7">
        <v>37971</v>
      </c>
      <c r="L22" s="22">
        <v>9.94</v>
      </c>
      <c r="M22" s="22">
        <v>9.94</v>
      </c>
      <c r="N22" s="7">
        <f t="shared" si="1"/>
        <v>5231.3883299798799</v>
      </c>
      <c r="O22" t="s">
        <v>97</v>
      </c>
      <c r="Q22" t="s">
        <v>22</v>
      </c>
    </row>
    <row r="23" spans="1:18" x14ac:dyDescent="0.25">
      <c r="A23" t="s">
        <v>98</v>
      </c>
      <c r="B23" t="s">
        <v>99</v>
      </c>
      <c r="C23" s="17">
        <v>45366</v>
      </c>
      <c r="D23" s="7">
        <v>140000</v>
      </c>
      <c r="E23" t="s">
        <v>19</v>
      </c>
      <c r="F23" t="s">
        <v>20</v>
      </c>
      <c r="G23" s="7">
        <v>140000</v>
      </c>
      <c r="H23" s="7">
        <v>55300</v>
      </c>
      <c r="I23" s="12">
        <f t="shared" si="0"/>
        <v>39.5</v>
      </c>
      <c r="J23" s="7">
        <f>G23-120410</f>
        <v>19590</v>
      </c>
      <c r="K23" s="7">
        <v>16784</v>
      </c>
      <c r="L23" s="22">
        <v>3.19</v>
      </c>
      <c r="M23" s="22">
        <v>3.19</v>
      </c>
      <c r="N23" s="7">
        <f t="shared" si="1"/>
        <v>6141.0658307210033</v>
      </c>
      <c r="O23" t="s">
        <v>100</v>
      </c>
      <c r="Q23" t="s">
        <v>22</v>
      </c>
    </row>
    <row r="24" spans="1:18" x14ac:dyDescent="0.25">
      <c r="A24" t="s">
        <v>101</v>
      </c>
      <c r="B24" t="s">
        <v>102</v>
      </c>
      <c r="C24" s="17">
        <v>45236</v>
      </c>
      <c r="D24" s="7">
        <v>265000</v>
      </c>
      <c r="E24" t="s">
        <v>19</v>
      </c>
      <c r="F24" t="s">
        <v>20</v>
      </c>
      <c r="G24" s="7">
        <v>265000</v>
      </c>
      <c r="H24" s="7">
        <v>118000</v>
      </c>
      <c r="I24" s="12">
        <f t="shared" si="0"/>
        <v>44.528301886792455</v>
      </c>
      <c r="J24" s="7">
        <f>G24-212030</f>
        <v>52970</v>
      </c>
      <c r="K24" s="7">
        <v>23910</v>
      </c>
      <c r="L24" s="22">
        <v>5</v>
      </c>
      <c r="M24" s="22">
        <v>5</v>
      </c>
      <c r="N24" s="7">
        <f t="shared" si="1"/>
        <v>10594</v>
      </c>
      <c r="O24" t="s">
        <v>103</v>
      </c>
      <c r="Q24" t="s">
        <v>22</v>
      </c>
    </row>
    <row r="25" spans="1:18" x14ac:dyDescent="0.25">
      <c r="A25" t="s">
        <v>143</v>
      </c>
      <c r="B25" t="s">
        <v>144</v>
      </c>
      <c r="C25" s="17">
        <v>45708</v>
      </c>
      <c r="D25" s="7">
        <v>110000</v>
      </c>
      <c r="E25" t="s">
        <v>19</v>
      </c>
      <c r="F25" t="s">
        <v>20</v>
      </c>
      <c r="G25" s="7">
        <v>110000</v>
      </c>
      <c r="H25" s="7">
        <v>58200</v>
      </c>
      <c r="I25" s="12">
        <f t="shared" si="0"/>
        <v>52.909090909090907</v>
      </c>
      <c r="J25" s="7">
        <v>110000</v>
      </c>
      <c r="L25" s="22">
        <v>20.13</v>
      </c>
      <c r="M25" s="22">
        <v>20.13</v>
      </c>
      <c r="N25" s="7">
        <v>5796</v>
      </c>
      <c r="O25" t="s">
        <v>145</v>
      </c>
    </row>
    <row r="26" spans="1:18" x14ac:dyDescent="0.25">
      <c r="A26" t="s">
        <v>104</v>
      </c>
      <c r="B26" t="s">
        <v>105</v>
      </c>
      <c r="C26" s="17">
        <v>45397</v>
      </c>
      <c r="D26" s="7">
        <v>366000</v>
      </c>
      <c r="E26" t="s">
        <v>19</v>
      </c>
      <c r="F26" t="s">
        <v>20</v>
      </c>
      <c r="G26" s="7">
        <v>366000</v>
      </c>
      <c r="H26" s="7">
        <v>109300</v>
      </c>
      <c r="I26" s="12">
        <f t="shared" si="0"/>
        <v>29.863387978142075</v>
      </c>
      <c r="J26" s="7">
        <f>G26-173157</f>
        <v>192843</v>
      </c>
      <c r="K26" s="7">
        <v>45468</v>
      </c>
      <c r="L26" s="22">
        <v>20</v>
      </c>
      <c r="M26" s="22">
        <v>20</v>
      </c>
      <c r="N26" s="7">
        <f t="shared" si="1"/>
        <v>9642.15</v>
      </c>
      <c r="O26" t="s">
        <v>106</v>
      </c>
      <c r="Q26" t="s">
        <v>22</v>
      </c>
    </row>
    <row r="27" spans="1:18" x14ac:dyDescent="0.25">
      <c r="A27" t="s">
        <v>107</v>
      </c>
      <c r="B27" t="s">
        <v>108</v>
      </c>
      <c r="C27" s="17">
        <v>45244</v>
      </c>
      <c r="D27" s="7">
        <v>315000</v>
      </c>
      <c r="E27" t="s">
        <v>19</v>
      </c>
      <c r="F27" t="s">
        <v>20</v>
      </c>
      <c r="G27" s="7">
        <v>315000</v>
      </c>
      <c r="H27" s="7">
        <v>143700</v>
      </c>
      <c r="I27" s="12">
        <f t="shared" si="0"/>
        <v>45.61904761904762</v>
      </c>
      <c r="J27" s="7">
        <f>G27-267843</f>
        <v>47157</v>
      </c>
      <c r="K27" s="7">
        <v>19529</v>
      </c>
      <c r="L27" s="22">
        <v>2.93</v>
      </c>
      <c r="M27" s="22">
        <v>2.93</v>
      </c>
      <c r="N27" s="7">
        <f t="shared" si="1"/>
        <v>16094.539249146757</v>
      </c>
      <c r="O27" t="s">
        <v>109</v>
      </c>
      <c r="Q27" t="s">
        <v>22</v>
      </c>
    </row>
    <row r="28" spans="1:18" x14ac:dyDescent="0.25">
      <c r="A28" t="s">
        <v>116</v>
      </c>
      <c r="B28" t="s">
        <v>117</v>
      </c>
      <c r="C28" s="17">
        <v>45352</v>
      </c>
      <c r="D28" s="7">
        <v>150000</v>
      </c>
      <c r="E28" t="s">
        <v>19</v>
      </c>
      <c r="F28" t="s">
        <v>118</v>
      </c>
      <c r="G28" s="7">
        <v>150000</v>
      </c>
      <c r="H28" s="7">
        <v>87500</v>
      </c>
      <c r="I28" s="12">
        <f>H28/G28*100</f>
        <v>58.333333333333336</v>
      </c>
      <c r="J28" s="7">
        <v>31830</v>
      </c>
      <c r="K28" s="7">
        <v>18660</v>
      </c>
      <c r="L28" s="22">
        <v>2.2999999999999998</v>
      </c>
      <c r="M28" s="22">
        <v>2.2999999999999998</v>
      </c>
      <c r="N28" s="7">
        <f>J28/L28</f>
        <v>13839.13043478261</v>
      </c>
      <c r="O28" t="s">
        <v>119</v>
      </c>
      <c r="Q28" t="s">
        <v>22</v>
      </c>
    </row>
    <row r="29" spans="1:18" x14ac:dyDescent="0.25">
      <c r="A29" t="s">
        <v>120</v>
      </c>
      <c r="B29" t="s">
        <v>121</v>
      </c>
      <c r="C29" s="17">
        <v>45090</v>
      </c>
      <c r="D29" s="7">
        <v>38000</v>
      </c>
      <c r="E29" t="s">
        <v>19</v>
      </c>
      <c r="F29" t="s">
        <v>20</v>
      </c>
      <c r="G29" s="7">
        <v>38000</v>
      </c>
      <c r="H29" s="7">
        <v>11700</v>
      </c>
      <c r="I29" s="12">
        <f t="shared" si="0"/>
        <v>30.789473684210527</v>
      </c>
      <c r="J29" s="7">
        <f>G29-0</f>
        <v>38000</v>
      </c>
      <c r="K29" s="7">
        <v>23395</v>
      </c>
      <c r="L29" s="22">
        <v>4.7699999999999996</v>
      </c>
      <c r="M29" s="22">
        <v>4.7699999999999996</v>
      </c>
      <c r="N29" s="7">
        <f t="shared" si="1"/>
        <v>7966.4570230607969</v>
      </c>
      <c r="O29" t="s">
        <v>123</v>
      </c>
      <c r="Q29" t="s">
        <v>22</v>
      </c>
    </row>
    <row r="30" spans="1:18" x14ac:dyDescent="0.25">
      <c r="A30" t="s">
        <v>128</v>
      </c>
      <c r="B30" t="s">
        <v>129</v>
      </c>
      <c r="C30" s="17">
        <v>45079</v>
      </c>
      <c r="D30" s="7">
        <v>30500</v>
      </c>
      <c r="E30" t="s">
        <v>19</v>
      </c>
      <c r="F30" t="s">
        <v>20</v>
      </c>
      <c r="G30" s="7">
        <v>30500</v>
      </c>
      <c r="H30" s="7">
        <v>12000</v>
      </c>
      <c r="I30" s="12">
        <f t="shared" si="0"/>
        <v>39.344262295081968</v>
      </c>
      <c r="J30" s="7">
        <f>G30-0</f>
        <v>30500</v>
      </c>
      <c r="K30" s="7">
        <v>23956</v>
      </c>
      <c r="L30" s="22">
        <v>5.05</v>
      </c>
      <c r="M30" s="22">
        <v>5.05</v>
      </c>
      <c r="N30" s="7">
        <f t="shared" si="1"/>
        <v>6039.6039603960398</v>
      </c>
      <c r="O30" t="s">
        <v>130</v>
      </c>
      <c r="Q30" t="s">
        <v>22</v>
      </c>
    </row>
    <row r="31" spans="1:18" x14ac:dyDescent="0.25">
      <c r="A31" t="s">
        <v>131</v>
      </c>
      <c r="B31" t="s">
        <v>132</v>
      </c>
      <c r="C31" s="17">
        <v>45289</v>
      </c>
      <c r="D31" s="7">
        <v>142000</v>
      </c>
      <c r="E31" t="s">
        <v>19</v>
      </c>
      <c r="F31" t="s">
        <v>20</v>
      </c>
      <c r="G31" s="7">
        <v>142000</v>
      </c>
      <c r="H31" s="7">
        <v>64700</v>
      </c>
      <c r="I31" s="12">
        <f t="shared" si="0"/>
        <v>45.563380281690144</v>
      </c>
      <c r="J31" s="7">
        <f>G31-115276</f>
        <v>26724</v>
      </c>
      <c r="K31" s="7">
        <v>18247</v>
      </c>
      <c r="L31" s="22">
        <v>2</v>
      </c>
      <c r="M31" s="22">
        <v>2</v>
      </c>
      <c r="N31" s="7">
        <f t="shared" si="1"/>
        <v>13362</v>
      </c>
      <c r="O31" t="s">
        <v>133</v>
      </c>
      <c r="Q31" t="s">
        <v>22</v>
      </c>
    </row>
    <row r="32" spans="1:18" x14ac:dyDescent="0.25">
      <c r="A32" t="s">
        <v>156</v>
      </c>
      <c r="B32" t="s">
        <v>157</v>
      </c>
      <c r="C32" s="17">
        <v>45485</v>
      </c>
      <c r="D32" s="7">
        <v>33500</v>
      </c>
      <c r="E32" t="s">
        <v>19</v>
      </c>
      <c r="F32" t="s">
        <v>20</v>
      </c>
      <c r="G32" s="7">
        <v>33500</v>
      </c>
      <c r="H32" s="7">
        <v>14300</v>
      </c>
      <c r="I32" s="12">
        <f t="shared" ref="I32:I52" si="2">H32/G32*100</f>
        <v>42.68656716417911</v>
      </c>
      <c r="J32" s="7">
        <v>33500</v>
      </c>
      <c r="L32" s="22">
        <v>5.4</v>
      </c>
      <c r="M32" s="27">
        <v>5.4</v>
      </c>
      <c r="N32" s="7">
        <v>6204</v>
      </c>
      <c r="O32" t="s">
        <v>158</v>
      </c>
      <c r="R32" t="s">
        <v>159</v>
      </c>
    </row>
    <row r="33" spans="1:18" x14ac:dyDescent="0.25">
      <c r="A33" t="s">
        <v>160</v>
      </c>
      <c r="B33" t="s">
        <v>149</v>
      </c>
      <c r="C33" s="17">
        <v>45649</v>
      </c>
      <c r="D33" s="7">
        <v>220000</v>
      </c>
      <c r="E33" t="s">
        <v>19</v>
      </c>
      <c r="F33" t="s">
        <v>20</v>
      </c>
      <c r="G33" s="7">
        <v>220000</v>
      </c>
      <c r="H33" s="7">
        <v>75300</v>
      </c>
      <c r="I33" s="12">
        <f t="shared" si="2"/>
        <v>34.227272727272727</v>
      </c>
      <c r="J33" s="7">
        <v>220000</v>
      </c>
      <c r="L33" s="22">
        <v>9.81</v>
      </c>
      <c r="M33" s="27">
        <v>10.039999999999999</v>
      </c>
      <c r="N33" s="7">
        <v>22426</v>
      </c>
      <c r="O33" t="s">
        <v>150</v>
      </c>
      <c r="R33" t="s">
        <v>161</v>
      </c>
    </row>
    <row r="34" spans="1:18" x14ac:dyDescent="0.25">
      <c r="A34" t="s">
        <v>162</v>
      </c>
      <c r="B34" t="s">
        <v>151</v>
      </c>
      <c r="C34" s="17">
        <v>45694</v>
      </c>
      <c r="D34" s="7">
        <v>73000</v>
      </c>
      <c r="E34" t="s">
        <v>19</v>
      </c>
      <c r="F34" t="s">
        <v>20</v>
      </c>
      <c r="G34" s="7">
        <v>73000</v>
      </c>
      <c r="H34" s="7">
        <v>20200</v>
      </c>
      <c r="I34" s="12">
        <f t="shared" si="2"/>
        <v>27.671232876712327</v>
      </c>
      <c r="J34" s="7">
        <v>73000</v>
      </c>
      <c r="L34" s="22">
        <v>9.9</v>
      </c>
      <c r="M34" s="27">
        <v>10.4</v>
      </c>
      <c r="N34" s="7">
        <v>7371</v>
      </c>
      <c r="O34" t="s">
        <v>152</v>
      </c>
      <c r="R34" t="s">
        <v>163</v>
      </c>
    </row>
    <row r="35" spans="1:18" x14ac:dyDescent="0.25">
      <c r="A35" t="s">
        <v>164</v>
      </c>
      <c r="B35" t="s">
        <v>153</v>
      </c>
      <c r="C35" s="17">
        <v>45546</v>
      </c>
      <c r="D35" s="7">
        <v>58000</v>
      </c>
      <c r="E35" t="s">
        <v>19</v>
      </c>
      <c r="F35" t="s">
        <v>20</v>
      </c>
      <c r="G35" s="7">
        <v>58000</v>
      </c>
      <c r="H35" s="7">
        <v>13800</v>
      </c>
      <c r="I35" s="12">
        <f t="shared" si="2"/>
        <v>23.793103448275861</v>
      </c>
      <c r="J35" s="7">
        <v>58000</v>
      </c>
      <c r="L35" s="22">
        <v>4.75</v>
      </c>
      <c r="M35" s="27">
        <v>5</v>
      </c>
      <c r="N35" s="7">
        <v>12211</v>
      </c>
      <c r="O35" t="s">
        <v>165</v>
      </c>
      <c r="R35" t="s">
        <v>166</v>
      </c>
    </row>
    <row r="36" spans="1:18" x14ac:dyDescent="0.25">
      <c r="A36" t="s">
        <v>167</v>
      </c>
      <c r="B36" t="s">
        <v>168</v>
      </c>
      <c r="C36" s="17">
        <v>45488</v>
      </c>
      <c r="D36" s="7">
        <v>26000</v>
      </c>
      <c r="E36" t="s">
        <v>19</v>
      </c>
      <c r="F36" t="s">
        <v>20</v>
      </c>
      <c r="G36" s="7">
        <v>26000</v>
      </c>
      <c r="H36" s="7">
        <v>8600</v>
      </c>
      <c r="I36" s="12">
        <f t="shared" si="2"/>
        <v>33.076923076923073</v>
      </c>
      <c r="J36" s="7">
        <v>26000</v>
      </c>
      <c r="L36" s="22">
        <v>1.77</v>
      </c>
      <c r="M36" s="27">
        <v>2.35</v>
      </c>
      <c r="N36" s="7">
        <v>14706</v>
      </c>
      <c r="O36" t="s">
        <v>169</v>
      </c>
      <c r="R36" t="s">
        <v>170</v>
      </c>
    </row>
    <row r="37" spans="1:18" x14ac:dyDescent="0.25">
      <c r="A37" t="s">
        <v>171</v>
      </c>
      <c r="B37" t="s">
        <v>172</v>
      </c>
      <c r="C37" s="17">
        <v>45394</v>
      </c>
      <c r="D37" s="7">
        <v>28000</v>
      </c>
      <c r="E37" t="s">
        <v>19</v>
      </c>
      <c r="F37" t="s">
        <v>20</v>
      </c>
      <c r="G37" s="7">
        <v>28000</v>
      </c>
      <c r="H37" s="7">
        <v>16000</v>
      </c>
      <c r="I37" s="12">
        <f t="shared" si="2"/>
        <v>57.142857142857139</v>
      </c>
      <c r="J37" s="7">
        <v>28000</v>
      </c>
      <c r="L37" s="22">
        <v>4.04</v>
      </c>
      <c r="M37" s="27">
        <v>4.04</v>
      </c>
      <c r="N37" s="7">
        <v>6931</v>
      </c>
      <c r="O37" t="s">
        <v>173</v>
      </c>
      <c r="P37" t="s">
        <v>174</v>
      </c>
      <c r="R37" t="s">
        <v>175</v>
      </c>
    </row>
    <row r="38" spans="1:18" x14ac:dyDescent="0.25">
      <c r="A38" t="s">
        <v>176</v>
      </c>
      <c r="B38" t="s">
        <v>172</v>
      </c>
      <c r="C38" s="17">
        <v>45582</v>
      </c>
      <c r="D38" s="7">
        <v>13999</v>
      </c>
      <c r="E38" t="s">
        <v>19</v>
      </c>
      <c r="F38" t="s">
        <v>20</v>
      </c>
      <c r="G38" s="7">
        <v>13999</v>
      </c>
      <c r="H38" s="7">
        <v>5400</v>
      </c>
      <c r="I38" s="12">
        <f t="shared" si="2"/>
        <v>38.574183870276443</v>
      </c>
      <c r="J38" s="7">
        <v>13999</v>
      </c>
      <c r="L38" s="22">
        <v>1.36</v>
      </c>
      <c r="M38" s="27">
        <v>1.36</v>
      </c>
      <c r="N38" s="7">
        <v>10293</v>
      </c>
      <c r="O38" t="s">
        <v>177</v>
      </c>
      <c r="R38" t="s">
        <v>178</v>
      </c>
    </row>
    <row r="39" spans="1:18" x14ac:dyDescent="0.25">
      <c r="A39" t="s">
        <v>179</v>
      </c>
      <c r="B39" t="s">
        <v>172</v>
      </c>
      <c r="C39" s="17">
        <v>45400</v>
      </c>
      <c r="D39" s="7">
        <v>14000</v>
      </c>
      <c r="E39" t="s">
        <v>19</v>
      </c>
      <c r="F39" t="s">
        <v>20</v>
      </c>
      <c r="G39" s="7">
        <v>14000</v>
      </c>
      <c r="H39" s="7">
        <v>7500</v>
      </c>
      <c r="I39" s="12">
        <f t="shared" si="2"/>
        <v>53.571428571428569</v>
      </c>
      <c r="J39" s="7">
        <v>14000</v>
      </c>
      <c r="L39" s="27">
        <v>1.88</v>
      </c>
      <c r="M39" s="12">
        <v>1.88</v>
      </c>
      <c r="N39" s="7">
        <v>7447</v>
      </c>
      <c r="O39" t="s">
        <v>180</v>
      </c>
      <c r="R39" t="s">
        <v>178</v>
      </c>
    </row>
    <row r="40" spans="1:18" x14ac:dyDescent="0.25">
      <c r="A40" t="s">
        <v>181</v>
      </c>
      <c r="B40" t="s">
        <v>182</v>
      </c>
      <c r="C40" s="17">
        <v>45442</v>
      </c>
      <c r="D40" s="7">
        <v>29000</v>
      </c>
      <c r="E40" t="s">
        <v>19</v>
      </c>
      <c r="F40" t="s">
        <v>20</v>
      </c>
      <c r="G40" s="7">
        <v>29000</v>
      </c>
      <c r="H40" s="7">
        <v>6000</v>
      </c>
      <c r="I40" s="12">
        <f t="shared" si="2"/>
        <v>20.689655172413794</v>
      </c>
      <c r="J40" s="7">
        <v>29000</v>
      </c>
      <c r="L40" s="27">
        <v>3.75</v>
      </c>
      <c r="M40" s="12">
        <v>3.8010000000000002</v>
      </c>
      <c r="N40" s="7">
        <v>7731</v>
      </c>
      <c r="O40" t="s">
        <v>183</v>
      </c>
      <c r="R40" t="s">
        <v>184</v>
      </c>
    </row>
    <row r="41" spans="1:18" x14ac:dyDescent="0.25">
      <c r="A41" t="s">
        <v>185</v>
      </c>
      <c r="B41" t="s">
        <v>186</v>
      </c>
      <c r="C41" s="17">
        <v>45702</v>
      </c>
      <c r="D41" s="7">
        <v>16500</v>
      </c>
      <c r="E41" t="s">
        <v>19</v>
      </c>
      <c r="F41" t="s">
        <v>20</v>
      </c>
      <c r="G41" s="7">
        <v>16500</v>
      </c>
      <c r="H41" s="7">
        <v>4000</v>
      </c>
      <c r="I41" s="12">
        <f t="shared" si="2"/>
        <v>24.242424242424242</v>
      </c>
      <c r="J41" s="7">
        <v>16500</v>
      </c>
      <c r="L41" s="27">
        <v>1.35</v>
      </c>
      <c r="M41" s="12">
        <v>1.5</v>
      </c>
      <c r="N41" s="7">
        <v>12222</v>
      </c>
      <c r="O41" t="s">
        <v>187</v>
      </c>
      <c r="R41" t="s">
        <v>188</v>
      </c>
    </row>
    <row r="42" spans="1:18" x14ac:dyDescent="0.25">
      <c r="A42" t="s">
        <v>189</v>
      </c>
      <c r="B42" t="s">
        <v>190</v>
      </c>
      <c r="C42" s="17">
        <v>45541</v>
      </c>
      <c r="D42" s="7">
        <v>90000</v>
      </c>
      <c r="E42" t="s">
        <v>19</v>
      </c>
      <c r="F42" t="s">
        <v>20</v>
      </c>
      <c r="G42" s="7">
        <v>90000</v>
      </c>
      <c r="H42" s="7">
        <v>17600</v>
      </c>
      <c r="I42" s="12">
        <f t="shared" si="2"/>
        <v>19.555555555555557</v>
      </c>
      <c r="J42" s="7">
        <v>90000</v>
      </c>
      <c r="L42" s="27">
        <v>12.94</v>
      </c>
      <c r="M42" s="12">
        <v>13.39</v>
      </c>
      <c r="N42" s="7">
        <v>6953</v>
      </c>
      <c r="O42" t="s">
        <v>191</v>
      </c>
      <c r="R42" t="s">
        <v>192</v>
      </c>
    </row>
    <row r="43" spans="1:18" x14ac:dyDescent="0.25">
      <c r="A43" t="s">
        <v>193</v>
      </c>
      <c r="B43" t="s">
        <v>194</v>
      </c>
      <c r="C43" s="17">
        <v>45455</v>
      </c>
      <c r="D43" s="7">
        <v>70000</v>
      </c>
      <c r="E43" t="s">
        <v>19</v>
      </c>
      <c r="F43" t="s">
        <v>20</v>
      </c>
      <c r="G43" s="7">
        <v>70000</v>
      </c>
      <c r="H43" s="7" t="s">
        <v>195</v>
      </c>
      <c r="I43" s="12" t="s">
        <v>196</v>
      </c>
      <c r="J43" s="7">
        <v>70000</v>
      </c>
      <c r="L43" s="27">
        <v>9.59</v>
      </c>
      <c r="M43" s="12">
        <v>9.84</v>
      </c>
      <c r="N43" s="7">
        <v>7298</v>
      </c>
      <c r="O43" t="s">
        <v>197</v>
      </c>
      <c r="R43" t="s">
        <v>198</v>
      </c>
    </row>
    <row r="44" spans="1:18" x14ac:dyDescent="0.25">
      <c r="A44" t="s">
        <v>199</v>
      </c>
      <c r="B44" t="s">
        <v>194</v>
      </c>
      <c r="C44" s="17">
        <v>45630</v>
      </c>
      <c r="D44" s="7">
        <v>70000</v>
      </c>
      <c r="E44" t="s">
        <v>19</v>
      </c>
      <c r="F44" t="s">
        <v>20</v>
      </c>
      <c r="G44" s="7">
        <v>70000</v>
      </c>
      <c r="H44" s="7" t="s">
        <v>195</v>
      </c>
      <c r="I44" s="12" t="s">
        <v>196</v>
      </c>
      <c r="J44" s="7">
        <v>70000</v>
      </c>
      <c r="L44" s="27">
        <v>9.84</v>
      </c>
      <c r="M44" s="12">
        <v>9.84</v>
      </c>
      <c r="N44" s="7">
        <v>7114</v>
      </c>
      <c r="O44" t="s">
        <v>200</v>
      </c>
      <c r="R44" t="s">
        <v>201</v>
      </c>
    </row>
    <row r="45" spans="1:18" x14ac:dyDescent="0.25">
      <c r="A45" t="s">
        <v>202</v>
      </c>
      <c r="B45" t="s">
        <v>203</v>
      </c>
      <c r="C45" s="17">
        <v>45513</v>
      </c>
      <c r="D45" s="7">
        <v>85000</v>
      </c>
      <c r="E45" t="s">
        <v>19</v>
      </c>
      <c r="F45" t="s">
        <v>20</v>
      </c>
      <c r="G45" s="7">
        <v>85000</v>
      </c>
      <c r="H45" s="7">
        <v>33000</v>
      </c>
      <c r="I45" s="12">
        <f t="shared" si="2"/>
        <v>38.82352941176471</v>
      </c>
      <c r="J45" s="7">
        <v>85000</v>
      </c>
      <c r="L45" s="27">
        <v>8.9</v>
      </c>
      <c r="M45" s="12">
        <v>13.49</v>
      </c>
      <c r="N45" s="7">
        <v>9546</v>
      </c>
      <c r="O45" t="s">
        <v>204</v>
      </c>
      <c r="R45" t="s">
        <v>205</v>
      </c>
    </row>
    <row r="46" spans="1:18" x14ac:dyDescent="0.25">
      <c r="A46" t="s">
        <v>206</v>
      </c>
      <c r="B46" t="s">
        <v>207</v>
      </c>
      <c r="C46" s="17">
        <v>45644</v>
      </c>
      <c r="D46" s="7">
        <v>20000</v>
      </c>
      <c r="E46" t="s">
        <v>19</v>
      </c>
      <c r="F46" t="s">
        <v>20</v>
      </c>
      <c r="G46" s="7">
        <v>20000</v>
      </c>
      <c r="H46" s="7">
        <v>8700</v>
      </c>
      <c r="I46" s="12">
        <f t="shared" si="2"/>
        <v>43.5</v>
      </c>
      <c r="J46" s="7">
        <v>20000</v>
      </c>
      <c r="L46" s="27">
        <v>2.0099999999999998</v>
      </c>
      <c r="M46" s="12">
        <v>2.48</v>
      </c>
      <c r="N46" s="7">
        <v>9965</v>
      </c>
      <c r="O46" t="s">
        <v>208</v>
      </c>
      <c r="R46" t="s">
        <v>209</v>
      </c>
    </row>
    <row r="47" spans="1:18" x14ac:dyDescent="0.25">
      <c r="A47" t="s">
        <v>210</v>
      </c>
      <c r="B47" t="s">
        <v>211</v>
      </c>
      <c r="C47" s="17">
        <v>45713</v>
      </c>
      <c r="D47" s="7">
        <v>55000</v>
      </c>
      <c r="E47" t="s">
        <v>19</v>
      </c>
      <c r="F47" t="s">
        <v>212</v>
      </c>
      <c r="G47" s="7">
        <v>55000</v>
      </c>
      <c r="H47" s="7">
        <v>15600</v>
      </c>
      <c r="I47" s="12">
        <f t="shared" si="2"/>
        <v>28.363636363636363</v>
      </c>
      <c r="J47" s="7">
        <v>55000</v>
      </c>
      <c r="L47" s="22">
        <v>6.3136363636363635</v>
      </c>
      <c r="M47" s="22">
        <v>6.5</v>
      </c>
      <c r="N47" s="7">
        <v>8711.3030957523406</v>
      </c>
      <c r="O47" t="s">
        <v>154</v>
      </c>
      <c r="R47" t="s">
        <v>213</v>
      </c>
    </row>
    <row r="48" spans="1:18" x14ac:dyDescent="0.25">
      <c r="A48" t="s">
        <v>214</v>
      </c>
      <c r="B48" t="s">
        <v>155</v>
      </c>
      <c r="C48" s="17">
        <v>45659</v>
      </c>
      <c r="D48" s="7">
        <v>126250</v>
      </c>
      <c r="E48" t="s">
        <v>19</v>
      </c>
      <c r="F48" t="s">
        <v>212</v>
      </c>
      <c r="G48" s="7">
        <v>126250</v>
      </c>
      <c r="H48" s="7">
        <v>30600</v>
      </c>
      <c r="I48" s="12">
        <f t="shared" si="2"/>
        <v>24.237623762376238</v>
      </c>
      <c r="J48" s="7">
        <v>126250</v>
      </c>
      <c r="L48" s="22">
        <v>11.848484848484848</v>
      </c>
      <c r="M48" s="22">
        <v>12</v>
      </c>
      <c r="N48" s="7">
        <v>10655.370843989771</v>
      </c>
      <c r="O48" t="s">
        <v>215</v>
      </c>
      <c r="R48" t="s">
        <v>216</v>
      </c>
    </row>
    <row r="49" spans="1:18" x14ac:dyDescent="0.25">
      <c r="A49" t="s">
        <v>217</v>
      </c>
      <c r="B49" t="s">
        <v>148</v>
      </c>
      <c r="C49" s="17">
        <v>45555</v>
      </c>
      <c r="D49" s="7">
        <v>39900</v>
      </c>
      <c r="E49" t="s">
        <v>19</v>
      </c>
      <c r="F49" t="s">
        <v>212</v>
      </c>
      <c r="G49" s="7">
        <v>39900</v>
      </c>
      <c r="H49" s="7">
        <v>12300</v>
      </c>
      <c r="I49" s="12">
        <f t="shared" si="2"/>
        <v>30.82706766917293</v>
      </c>
      <c r="J49" s="7">
        <v>29900</v>
      </c>
      <c r="L49" s="22">
        <v>3.02</v>
      </c>
      <c r="M49" s="22">
        <v>3.02</v>
      </c>
      <c r="N49" s="7">
        <v>13211.920529801324</v>
      </c>
      <c r="O49" t="s">
        <v>218</v>
      </c>
    </row>
    <row r="50" spans="1:18" x14ac:dyDescent="0.25">
      <c r="A50" t="s">
        <v>219</v>
      </c>
      <c r="B50" t="s">
        <v>220</v>
      </c>
      <c r="C50" s="17">
        <v>45645</v>
      </c>
      <c r="D50" s="7">
        <v>125000</v>
      </c>
      <c r="E50" t="s">
        <v>19</v>
      </c>
      <c r="F50" t="s">
        <v>221</v>
      </c>
      <c r="G50" s="7">
        <v>125000</v>
      </c>
      <c r="H50" s="7">
        <v>56600</v>
      </c>
      <c r="I50" s="12">
        <f t="shared" si="2"/>
        <v>45.28</v>
      </c>
      <c r="J50" s="7">
        <v>125000</v>
      </c>
      <c r="L50" s="22">
        <v>20.21</v>
      </c>
      <c r="M50" s="22">
        <v>20.596</v>
      </c>
      <c r="N50" s="7">
        <v>6185.0569025235027</v>
      </c>
      <c r="O50" t="s">
        <v>222</v>
      </c>
      <c r="P50" t="s">
        <v>223</v>
      </c>
      <c r="R50" t="s">
        <v>224</v>
      </c>
    </row>
    <row r="51" spans="1:18" x14ac:dyDescent="0.25">
      <c r="A51" t="s">
        <v>225</v>
      </c>
      <c r="B51" t="s">
        <v>226</v>
      </c>
      <c r="C51" s="17">
        <v>45679</v>
      </c>
      <c r="D51" s="7">
        <v>45000</v>
      </c>
      <c r="E51" t="s">
        <v>19</v>
      </c>
      <c r="F51" t="s">
        <v>212</v>
      </c>
      <c r="G51" s="7">
        <v>45000</v>
      </c>
      <c r="H51" s="7">
        <v>26200</v>
      </c>
      <c r="I51" s="12">
        <f t="shared" si="2"/>
        <v>58.222222222222221</v>
      </c>
      <c r="J51" s="7">
        <v>45000</v>
      </c>
      <c r="L51" s="22">
        <v>3.02</v>
      </c>
      <c r="M51" s="22">
        <v>3.19</v>
      </c>
      <c r="N51" s="7">
        <v>14900.662251655629</v>
      </c>
      <c r="O51" t="s">
        <v>227</v>
      </c>
      <c r="R51" t="s">
        <v>228</v>
      </c>
    </row>
    <row r="52" spans="1:18" x14ac:dyDescent="0.25">
      <c r="A52" t="s">
        <v>229</v>
      </c>
      <c r="B52" t="s">
        <v>146</v>
      </c>
      <c r="C52" s="17">
        <v>45481</v>
      </c>
      <c r="D52" s="7">
        <v>65000</v>
      </c>
      <c r="E52" t="s">
        <v>19</v>
      </c>
      <c r="F52" t="s">
        <v>212</v>
      </c>
      <c r="G52" s="7">
        <v>65000</v>
      </c>
      <c r="H52" s="7">
        <v>41900</v>
      </c>
      <c r="I52" s="12">
        <f t="shared" si="2"/>
        <v>64.461538461538453</v>
      </c>
      <c r="J52" s="7">
        <v>65000</v>
      </c>
      <c r="L52" s="22">
        <v>7.79</v>
      </c>
      <c r="M52" s="22">
        <v>7.79</v>
      </c>
      <c r="N52" s="7">
        <v>8344.0308087291396</v>
      </c>
      <c r="O52" t="s">
        <v>147</v>
      </c>
      <c r="P52" t="s">
        <v>230</v>
      </c>
      <c r="R52" t="s">
        <v>231</v>
      </c>
    </row>
    <row r="53" spans="1:18" x14ac:dyDescent="0.25">
      <c r="A53" t="s">
        <v>232</v>
      </c>
      <c r="B53" t="s">
        <v>65</v>
      </c>
      <c r="C53" s="17">
        <v>45390</v>
      </c>
      <c r="D53" s="7">
        <v>10000</v>
      </c>
      <c r="E53" t="s">
        <v>19</v>
      </c>
      <c r="F53" t="s">
        <v>212</v>
      </c>
      <c r="G53" s="7">
        <v>10000</v>
      </c>
      <c r="H53" s="7">
        <v>7500</v>
      </c>
      <c r="I53" s="12">
        <v>75</v>
      </c>
      <c r="J53" s="7">
        <v>10000</v>
      </c>
      <c r="L53" s="22">
        <v>0.55000000000000004</v>
      </c>
      <c r="M53" s="22">
        <v>0.65</v>
      </c>
      <c r="N53" s="7">
        <v>18181.81818181818</v>
      </c>
      <c r="O53" t="s">
        <v>83</v>
      </c>
      <c r="R53" t="s">
        <v>233</v>
      </c>
    </row>
    <row r="54" spans="1:18" x14ac:dyDescent="0.25">
      <c r="A54" t="s">
        <v>234</v>
      </c>
      <c r="B54" t="s">
        <v>235</v>
      </c>
      <c r="C54" s="17">
        <v>45628</v>
      </c>
      <c r="D54" s="7">
        <v>197500</v>
      </c>
      <c r="E54" t="s">
        <v>19</v>
      </c>
      <c r="F54" t="s">
        <v>212</v>
      </c>
      <c r="G54" s="7">
        <v>197500</v>
      </c>
      <c r="H54" s="7">
        <v>99100</v>
      </c>
      <c r="I54" s="12">
        <v>50.177215189873415</v>
      </c>
      <c r="J54" s="7">
        <v>1975000</v>
      </c>
      <c r="L54" s="22">
        <v>36.531613636363637</v>
      </c>
      <c r="M54" s="22">
        <v>39.64</v>
      </c>
      <c r="N54" s="7">
        <v>5406.276382037724</v>
      </c>
      <c r="O54" t="s">
        <v>236</v>
      </c>
      <c r="R54" t="s">
        <v>237</v>
      </c>
    </row>
    <row r="55" spans="1:18" x14ac:dyDescent="0.25">
      <c r="A55" t="s">
        <v>238</v>
      </c>
      <c r="B55" t="s">
        <v>239</v>
      </c>
      <c r="C55" s="17">
        <v>45645</v>
      </c>
      <c r="D55" s="7">
        <v>23550</v>
      </c>
      <c r="E55" t="s">
        <v>19</v>
      </c>
      <c r="F55" t="s">
        <v>212</v>
      </c>
      <c r="G55" s="7">
        <v>23550</v>
      </c>
      <c r="H55" s="7">
        <v>16700</v>
      </c>
      <c r="I55" s="12">
        <v>70.912951167728238</v>
      </c>
      <c r="J55" s="7">
        <v>23550</v>
      </c>
      <c r="L55" s="22">
        <v>1.6559999999999999</v>
      </c>
      <c r="M55" s="22">
        <v>2.09</v>
      </c>
      <c r="N55" s="7">
        <v>14221.014492753624</v>
      </c>
      <c r="O55" t="s">
        <v>240</v>
      </c>
      <c r="R55" t="s">
        <v>241</v>
      </c>
    </row>
    <row r="56" spans="1:18" x14ac:dyDescent="0.25">
      <c r="A56" t="s">
        <v>242</v>
      </c>
      <c r="B56" t="s">
        <v>243</v>
      </c>
      <c r="C56" s="17">
        <v>45457</v>
      </c>
      <c r="D56" s="7">
        <v>39900</v>
      </c>
      <c r="E56" t="s">
        <v>19</v>
      </c>
      <c r="F56" t="s">
        <v>212</v>
      </c>
      <c r="G56" s="7">
        <v>39900</v>
      </c>
      <c r="H56" s="7">
        <v>20000</v>
      </c>
      <c r="I56" s="12">
        <v>50.125313283208015</v>
      </c>
      <c r="J56" s="7">
        <v>39900</v>
      </c>
      <c r="L56" s="22">
        <v>4.74</v>
      </c>
      <c r="M56" s="22">
        <v>4.99</v>
      </c>
      <c r="N56" s="7">
        <v>8417.7215189873423</v>
      </c>
      <c r="O56" t="s">
        <v>244</v>
      </c>
      <c r="R56" t="s">
        <v>245</v>
      </c>
    </row>
    <row r="57" spans="1:18" x14ac:dyDescent="0.25">
      <c r="A57" t="s">
        <v>246</v>
      </c>
      <c r="B57" t="s">
        <v>247</v>
      </c>
      <c r="C57" s="17">
        <v>45520</v>
      </c>
      <c r="D57" s="7">
        <v>52000</v>
      </c>
      <c r="E57" t="s">
        <v>19</v>
      </c>
      <c r="F57" t="s">
        <v>221</v>
      </c>
      <c r="G57" s="7">
        <v>52000</v>
      </c>
      <c r="H57" s="7">
        <v>27600</v>
      </c>
      <c r="I57" s="12">
        <v>53.07692307692308</v>
      </c>
      <c r="J57" s="7">
        <v>52000</v>
      </c>
      <c r="L57" s="22">
        <v>2.7275151515151514</v>
      </c>
      <c r="M57" s="22">
        <v>3.03</v>
      </c>
      <c r="N57" s="7">
        <v>19064.972002488666</v>
      </c>
      <c r="O57" t="s">
        <v>248</v>
      </c>
      <c r="P57" t="s">
        <v>249</v>
      </c>
      <c r="R57" t="s">
        <v>250</v>
      </c>
    </row>
    <row r="58" spans="1:18" x14ac:dyDescent="0.25">
      <c r="A58" t="s">
        <v>251</v>
      </c>
      <c r="B58" t="s">
        <v>252</v>
      </c>
      <c r="C58" s="17">
        <v>45358</v>
      </c>
      <c r="D58" s="7">
        <v>25000</v>
      </c>
      <c r="E58" t="s">
        <v>19</v>
      </c>
      <c r="F58" t="s">
        <v>212</v>
      </c>
      <c r="G58" s="7">
        <v>25000</v>
      </c>
      <c r="H58" s="7">
        <v>5900</v>
      </c>
      <c r="I58" s="12">
        <v>23.6</v>
      </c>
      <c r="J58" s="7">
        <v>25000</v>
      </c>
      <c r="L58" s="22">
        <v>1.75</v>
      </c>
      <c r="M58" s="22">
        <v>2</v>
      </c>
      <c r="N58" s="7">
        <v>14286</v>
      </c>
      <c r="O58" t="s">
        <v>253</v>
      </c>
      <c r="R58" t="s">
        <v>254</v>
      </c>
    </row>
    <row r="59" spans="1:18" x14ac:dyDescent="0.25">
      <c r="A59" t="s">
        <v>255</v>
      </c>
      <c r="B59" t="s">
        <v>256</v>
      </c>
      <c r="C59" s="17">
        <v>45245</v>
      </c>
      <c r="D59" s="7">
        <v>55000</v>
      </c>
      <c r="E59" t="s">
        <v>257</v>
      </c>
      <c r="F59" t="s">
        <v>212</v>
      </c>
      <c r="G59" s="7">
        <v>55000</v>
      </c>
      <c r="H59" s="7">
        <v>18500</v>
      </c>
      <c r="I59" s="12">
        <v>33.64</v>
      </c>
      <c r="J59" s="7">
        <v>55000</v>
      </c>
      <c r="L59" s="22">
        <v>10.61</v>
      </c>
      <c r="M59" s="22">
        <v>12.31</v>
      </c>
      <c r="N59" s="7">
        <v>5185</v>
      </c>
      <c r="O59" t="s">
        <v>258</v>
      </c>
      <c r="R59" t="s">
        <v>259</v>
      </c>
    </row>
    <row r="60" spans="1:18" x14ac:dyDescent="0.25">
      <c r="A60" t="s">
        <v>260</v>
      </c>
      <c r="B60" t="s">
        <v>261</v>
      </c>
      <c r="C60" s="17">
        <v>45275</v>
      </c>
      <c r="D60" s="7">
        <v>105900</v>
      </c>
      <c r="E60" t="s">
        <v>19</v>
      </c>
      <c r="F60" t="s">
        <v>212</v>
      </c>
      <c r="G60" s="7">
        <v>105900</v>
      </c>
      <c r="H60" s="7">
        <v>26400</v>
      </c>
      <c r="I60" s="12">
        <v>24.93</v>
      </c>
      <c r="J60" s="7">
        <v>105900</v>
      </c>
      <c r="L60" s="22">
        <v>17.3</v>
      </c>
      <c r="M60" s="22">
        <v>17.5</v>
      </c>
      <c r="N60" s="7">
        <v>6120</v>
      </c>
      <c r="O60" t="s">
        <v>262</v>
      </c>
      <c r="R60" t="s">
        <v>263</v>
      </c>
    </row>
    <row r="61" spans="1:18" x14ac:dyDescent="0.25">
      <c r="A61" t="s">
        <v>264</v>
      </c>
      <c r="B61" t="s">
        <v>265</v>
      </c>
      <c r="C61" s="17">
        <v>45320</v>
      </c>
      <c r="D61" s="7">
        <v>70000</v>
      </c>
      <c r="E61" t="s">
        <v>19</v>
      </c>
      <c r="F61" t="s">
        <v>212</v>
      </c>
      <c r="G61" s="7">
        <v>70000</v>
      </c>
      <c r="H61" s="7">
        <v>15000</v>
      </c>
      <c r="I61" s="12">
        <f t="shared" ref="I61:I69" si="3">H61/G61*100</f>
        <v>21.428571428571427</v>
      </c>
      <c r="J61" s="7">
        <v>70000</v>
      </c>
      <c r="L61" s="27">
        <v>8.02</v>
      </c>
      <c r="M61" s="22">
        <v>10.02</v>
      </c>
      <c r="N61" s="7">
        <v>8728.1795511221953</v>
      </c>
      <c r="O61" t="s">
        <v>266</v>
      </c>
      <c r="R61" t="s">
        <v>267</v>
      </c>
    </row>
    <row r="62" spans="1:18" x14ac:dyDescent="0.25">
      <c r="A62" t="s">
        <v>268</v>
      </c>
      <c r="B62" t="s">
        <v>269</v>
      </c>
      <c r="C62" s="17">
        <v>45175</v>
      </c>
      <c r="D62" s="7">
        <v>15900</v>
      </c>
      <c r="E62" t="s">
        <v>19</v>
      </c>
      <c r="F62" t="s">
        <v>212</v>
      </c>
      <c r="G62" s="7">
        <v>15900</v>
      </c>
      <c r="H62" s="7">
        <v>2800</v>
      </c>
      <c r="I62" s="12">
        <f t="shared" si="3"/>
        <v>17.610062893081761</v>
      </c>
      <c r="J62" s="7">
        <v>15900</v>
      </c>
      <c r="L62" s="27">
        <v>1.93</v>
      </c>
      <c r="M62" s="22">
        <v>3.07</v>
      </c>
      <c r="N62" s="7">
        <v>8238.3419689119182</v>
      </c>
      <c r="O62" t="s">
        <v>270</v>
      </c>
      <c r="R62" t="s">
        <v>271</v>
      </c>
    </row>
    <row r="63" spans="1:18" x14ac:dyDescent="0.25">
      <c r="A63" t="s">
        <v>272</v>
      </c>
      <c r="B63" t="s">
        <v>273</v>
      </c>
      <c r="C63" s="17">
        <v>45225</v>
      </c>
      <c r="D63" s="7">
        <v>30000</v>
      </c>
      <c r="E63" t="s">
        <v>19</v>
      </c>
      <c r="F63" t="s">
        <v>212</v>
      </c>
      <c r="G63" s="7">
        <v>30000</v>
      </c>
      <c r="H63" s="7">
        <v>9400</v>
      </c>
      <c r="I63" s="12">
        <f t="shared" si="3"/>
        <v>31.333333333333336</v>
      </c>
      <c r="J63" s="7">
        <v>30000</v>
      </c>
      <c r="L63" s="22">
        <v>3.4</v>
      </c>
      <c r="M63" s="12">
        <v>3.4</v>
      </c>
      <c r="N63" s="7">
        <v>8823.5294117647063</v>
      </c>
      <c r="O63" t="s">
        <v>274</v>
      </c>
      <c r="R63" t="s">
        <v>275</v>
      </c>
    </row>
    <row r="64" spans="1:18" x14ac:dyDescent="0.25">
      <c r="A64" t="s">
        <v>276</v>
      </c>
      <c r="B64" t="s">
        <v>277</v>
      </c>
      <c r="C64" s="17">
        <v>45126</v>
      </c>
      <c r="D64" s="7">
        <v>28800</v>
      </c>
      <c r="E64" t="s">
        <v>19</v>
      </c>
      <c r="F64" t="s">
        <v>212</v>
      </c>
      <c r="G64" s="7">
        <v>28800</v>
      </c>
      <c r="H64" s="7">
        <v>9300</v>
      </c>
      <c r="I64" s="12">
        <f t="shared" si="3"/>
        <v>32.291666666666671</v>
      </c>
      <c r="J64" s="7">
        <v>28800</v>
      </c>
      <c r="L64" s="22">
        <v>0.84242424242424241</v>
      </c>
      <c r="M64" s="12">
        <v>1</v>
      </c>
      <c r="N64" s="7">
        <v>34187.05035971223</v>
      </c>
      <c r="O64" t="s">
        <v>278</v>
      </c>
      <c r="R64" t="s">
        <v>279</v>
      </c>
    </row>
    <row r="65" spans="1:18" x14ac:dyDescent="0.25">
      <c r="A65" t="s">
        <v>280</v>
      </c>
      <c r="B65" t="s">
        <v>146</v>
      </c>
      <c r="C65" s="17">
        <v>45072</v>
      </c>
      <c r="D65" s="7">
        <v>18004</v>
      </c>
      <c r="E65" t="s">
        <v>19</v>
      </c>
      <c r="F65" t="s">
        <v>212</v>
      </c>
      <c r="G65" s="7">
        <v>18004</v>
      </c>
      <c r="H65" s="7">
        <v>10000</v>
      </c>
      <c r="I65" s="12">
        <f t="shared" si="3"/>
        <v>55.543212619417901</v>
      </c>
      <c r="J65" s="7">
        <v>18004</v>
      </c>
      <c r="L65" s="22">
        <v>1.9689999999999999</v>
      </c>
      <c r="M65" s="12">
        <v>2.09</v>
      </c>
      <c r="N65" s="7">
        <v>9143.727780599289</v>
      </c>
      <c r="O65" t="s">
        <v>281</v>
      </c>
      <c r="R65" t="s">
        <v>282</v>
      </c>
    </row>
    <row r="66" spans="1:18" x14ac:dyDescent="0.25">
      <c r="A66" t="s">
        <v>283</v>
      </c>
      <c r="B66" t="s">
        <v>96</v>
      </c>
      <c r="C66" s="17">
        <v>45132</v>
      </c>
      <c r="D66" s="7">
        <v>52000</v>
      </c>
      <c r="E66" t="s">
        <v>19</v>
      </c>
      <c r="F66" t="s">
        <v>212</v>
      </c>
      <c r="G66" s="7">
        <v>52000</v>
      </c>
      <c r="H66" s="7">
        <v>19000</v>
      </c>
      <c r="I66" s="12">
        <f t="shared" si="3"/>
        <v>36.538461538461533</v>
      </c>
      <c r="J66" s="7">
        <v>52000</v>
      </c>
      <c r="L66" s="22">
        <v>8.6406060606060606</v>
      </c>
      <c r="M66" s="12">
        <v>9.94</v>
      </c>
      <c r="N66" s="7">
        <v>6018.0963737111597</v>
      </c>
      <c r="O66" t="s">
        <v>97</v>
      </c>
      <c r="R66" t="s">
        <v>284</v>
      </c>
    </row>
    <row r="67" spans="1:18" x14ac:dyDescent="0.25">
      <c r="A67" t="s">
        <v>285</v>
      </c>
      <c r="B67" t="s">
        <v>129</v>
      </c>
      <c r="C67" s="17">
        <v>45079</v>
      </c>
      <c r="D67" s="7">
        <v>30500</v>
      </c>
      <c r="E67" t="s">
        <v>19</v>
      </c>
      <c r="F67" t="s">
        <v>212</v>
      </c>
      <c r="G67" s="7">
        <v>30500</v>
      </c>
      <c r="H67" s="7">
        <v>12000</v>
      </c>
      <c r="I67" s="12">
        <f t="shared" si="3"/>
        <v>39.344262295081968</v>
      </c>
      <c r="J67" s="7">
        <v>30500</v>
      </c>
      <c r="L67" s="22">
        <v>4.7675909090909085</v>
      </c>
      <c r="M67" s="12">
        <v>5.05</v>
      </c>
      <c r="N67" s="7">
        <v>6397.3609694242386</v>
      </c>
      <c r="O67" t="s">
        <v>130</v>
      </c>
      <c r="R67" t="s">
        <v>286</v>
      </c>
    </row>
    <row r="68" spans="1:18" x14ac:dyDescent="0.25">
      <c r="A68" t="s">
        <v>287</v>
      </c>
      <c r="B68" t="s">
        <v>288</v>
      </c>
      <c r="C68" s="17">
        <v>45338</v>
      </c>
      <c r="D68" s="7">
        <v>300000</v>
      </c>
      <c r="E68" t="s">
        <v>19</v>
      </c>
      <c r="F68" t="s">
        <v>289</v>
      </c>
      <c r="G68" s="7">
        <v>300000</v>
      </c>
      <c r="H68" s="7">
        <v>118800</v>
      </c>
      <c r="I68" s="12">
        <f t="shared" si="3"/>
        <v>39.6</v>
      </c>
      <c r="J68" s="7">
        <v>300000</v>
      </c>
      <c r="L68" s="22">
        <v>41.737727272727277</v>
      </c>
      <c r="M68" s="12">
        <v>50.09</v>
      </c>
      <c r="N68" s="7">
        <v>7187.741633359833</v>
      </c>
      <c r="O68" t="s">
        <v>290</v>
      </c>
      <c r="P68" t="s">
        <v>291</v>
      </c>
      <c r="R68" t="s">
        <v>292</v>
      </c>
    </row>
    <row r="69" spans="1:18" x14ac:dyDescent="0.25">
      <c r="A69" t="s">
        <v>293</v>
      </c>
      <c r="B69" t="s">
        <v>294</v>
      </c>
      <c r="C69" s="17">
        <v>45021</v>
      </c>
      <c r="D69" s="7">
        <v>13500</v>
      </c>
      <c r="E69" t="s">
        <v>19</v>
      </c>
      <c r="F69" t="s">
        <v>212</v>
      </c>
      <c r="G69" s="7">
        <v>13500</v>
      </c>
      <c r="H69" s="7">
        <v>2400</v>
      </c>
      <c r="I69" s="12">
        <f t="shared" si="3"/>
        <v>17.777777777777779</v>
      </c>
      <c r="J69" s="7">
        <v>13500</v>
      </c>
      <c r="L69" s="22">
        <v>0.96</v>
      </c>
      <c r="M69" s="12">
        <v>0.96</v>
      </c>
      <c r="N69" s="28">
        <v>14062.5</v>
      </c>
      <c r="O69" t="s">
        <v>295</v>
      </c>
      <c r="R69" t="s">
        <v>296</v>
      </c>
    </row>
    <row r="70" spans="1:18" x14ac:dyDescent="0.25">
      <c r="A70" t="s">
        <v>297</v>
      </c>
      <c r="B70" t="s">
        <v>298</v>
      </c>
      <c r="C70" s="17">
        <v>45119</v>
      </c>
      <c r="D70" s="7">
        <v>200000</v>
      </c>
      <c r="E70" t="s">
        <v>19</v>
      </c>
      <c r="F70" t="s">
        <v>212</v>
      </c>
      <c r="G70" s="7">
        <v>200000</v>
      </c>
      <c r="H70" s="7">
        <v>84800</v>
      </c>
      <c r="I70" s="12">
        <f t="shared" ref="I70" si="4">H70/G70*100</f>
        <v>42.4</v>
      </c>
      <c r="J70" s="7">
        <v>200000</v>
      </c>
      <c r="L70" s="22">
        <v>34.619999999999997</v>
      </c>
      <c r="M70" s="12">
        <v>40</v>
      </c>
      <c r="N70" s="7">
        <v>5777.0075101097636</v>
      </c>
      <c r="O70" t="s">
        <v>299</v>
      </c>
      <c r="R70" t="s">
        <v>300</v>
      </c>
    </row>
    <row r="71" spans="1:18" ht="15.75" thickBot="1" x14ac:dyDescent="0.3"/>
    <row r="72" spans="1:18" ht="15.75" thickTop="1" x14ac:dyDescent="0.25">
      <c r="A72" s="3"/>
      <c r="B72" s="3"/>
      <c r="C72" s="18" t="s">
        <v>134</v>
      </c>
      <c r="D72" s="8">
        <f>+SUM(D2:D71)</f>
        <v>7297503</v>
      </c>
      <c r="E72" s="3"/>
      <c r="F72" s="3"/>
      <c r="G72" s="8">
        <f>+SUM(G2:G71)</f>
        <v>7297503</v>
      </c>
      <c r="H72" s="8">
        <f>+SUM(H2:H71)</f>
        <v>2815500</v>
      </c>
      <c r="I72" s="13"/>
      <c r="J72" s="8">
        <f>+SUM(J2:J71)</f>
        <v>5993718</v>
      </c>
      <c r="K72" s="8">
        <f>+SUM(K2:K71)</f>
        <v>591828</v>
      </c>
      <c r="L72" s="23">
        <f>+SUM(L2:L71)</f>
        <v>478.34459848484852</v>
      </c>
      <c r="M72" s="23">
        <f>+SUM(M2:M71)</f>
        <v>511.83699999999993</v>
      </c>
      <c r="N72" s="8"/>
      <c r="O72" s="3"/>
      <c r="P72" s="3"/>
      <c r="Q72" s="3"/>
      <c r="R72" s="3"/>
    </row>
    <row r="73" spans="1:18" x14ac:dyDescent="0.25">
      <c r="A73" s="4"/>
      <c r="B73" s="4"/>
      <c r="C73" s="19"/>
      <c r="D73" s="9"/>
      <c r="E73" s="4"/>
      <c r="F73" s="4"/>
      <c r="G73" s="9"/>
      <c r="H73" s="9" t="s">
        <v>135</v>
      </c>
      <c r="I73" s="14">
        <f>H72/G72*100</f>
        <v>38.581690202799507</v>
      </c>
      <c r="J73" s="9"/>
      <c r="K73" s="9" t="s">
        <v>136</v>
      </c>
      <c r="L73" s="24" t="s">
        <v>136</v>
      </c>
      <c r="M73" s="24"/>
      <c r="N73" s="9" t="s">
        <v>136</v>
      </c>
      <c r="O73" s="4"/>
      <c r="P73" s="4"/>
      <c r="Q73" s="4"/>
      <c r="R73" s="4"/>
    </row>
    <row r="74" spans="1:18" x14ac:dyDescent="0.25">
      <c r="A74" s="5"/>
      <c r="B74" s="5"/>
      <c r="C74" s="20"/>
      <c r="D74" s="10"/>
      <c r="E74" s="5"/>
      <c r="F74" s="5"/>
      <c r="G74" s="10"/>
      <c r="H74" s="10" t="s">
        <v>137</v>
      </c>
      <c r="I74" s="15">
        <f>STDEV(I2:I71)</f>
        <v>13.602751986316317</v>
      </c>
      <c r="J74" s="10"/>
      <c r="K74" s="10" t="s">
        <v>138</v>
      </c>
      <c r="L74" s="25" t="s">
        <v>139</v>
      </c>
      <c r="M74" s="26">
        <f>J72/L72</f>
        <v>12530.125810942653</v>
      </c>
      <c r="N74" s="10" t="s">
        <v>140</v>
      </c>
      <c r="O74" s="5"/>
      <c r="P74" s="5"/>
      <c r="Q74" s="5"/>
      <c r="R74" s="5"/>
    </row>
    <row r="75" spans="1:18" x14ac:dyDescent="0.25">
      <c r="A75" t="s">
        <v>301</v>
      </c>
    </row>
    <row r="76" spans="1:18" x14ac:dyDescent="0.25">
      <c r="A76" t="s">
        <v>302</v>
      </c>
    </row>
    <row r="78" spans="1:18" x14ac:dyDescent="0.25">
      <c r="A78" t="s">
        <v>141</v>
      </c>
    </row>
    <row r="79" spans="1:18" x14ac:dyDescent="0.25">
      <c r="A79" t="s">
        <v>110</v>
      </c>
      <c r="B79" t="s">
        <v>111</v>
      </c>
      <c r="C79" s="17">
        <v>45488</v>
      </c>
      <c r="D79" s="7">
        <v>330000</v>
      </c>
      <c r="E79" t="s">
        <v>19</v>
      </c>
      <c r="F79" t="s">
        <v>20</v>
      </c>
      <c r="G79" s="7">
        <v>330000</v>
      </c>
      <c r="H79" s="7">
        <v>210000</v>
      </c>
      <c r="I79" s="12">
        <f t="shared" ref="I79:I83" si="5">H79/G79*100</f>
        <v>63.636363636363633</v>
      </c>
      <c r="J79" s="7">
        <f>G79-372994</f>
        <v>-42994</v>
      </c>
      <c r="K79" s="7">
        <v>40858</v>
      </c>
      <c r="L79" s="22">
        <v>15.01</v>
      </c>
      <c r="M79" s="22">
        <v>15.01</v>
      </c>
      <c r="N79" s="7">
        <f t="shared" ref="N79:N83" si="6">J79/L79</f>
        <v>-2864.3570952698201</v>
      </c>
      <c r="O79" t="s">
        <v>112</v>
      </c>
      <c r="Q79" t="s">
        <v>22</v>
      </c>
    </row>
    <row r="80" spans="1:18" x14ac:dyDescent="0.25">
      <c r="A80" t="s">
        <v>113</v>
      </c>
      <c r="B80" t="s">
        <v>114</v>
      </c>
      <c r="C80" s="17">
        <v>45065</v>
      </c>
      <c r="D80" s="7">
        <v>25000</v>
      </c>
      <c r="E80" t="s">
        <v>19</v>
      </c>
      <c r="F80" t="s">
        <v>20</v>
      </c>
      <c r="G80" s="7">
        <v>25000</v>
      </c>
      <c r="H80" s="7">
        <v>22900</v>
      </c>
      <c r="I80" s="12">
        <f t="shared" si="5"/>
        <v>91.600000000000009</v>
      </c>
      <c r="J80" s="7">
        <f>G80-26185</f>
        <v>-1185</v>
      </c>
      <c r="K80" s="7">
        <v>19622</v>
      </c>
      <c r="L80" s="22">
        <v>3</v>
      </c>
      <c r="M80" s="22">
        <v>3</v>
      </c>
      <c r="N80" s="7">
        <f t="shared" si="6"/>
        <v>-395</v>
      </c>
      <c r="O80" t="s">
        <v>115</v>
      </c>
      <c r="Q80" t="s">
        <v>22</v>
      </c>
    </row>
    <row r="81" spans="1:30" x14ac:dyDescent="0.25">
      <c r="A81" t="s">
        <v>69</v>
      </c>
      <c r="B81" t="s">
        <v>70</v>
      </c>
      <c r="C81" s="17">
        <v>45168</v>
      </c>
      <c r="D81" s="7">
        <v>130000</v>
      </c>
      <c r="E81" t="s">
        <v>19</v>
      </c>
      <c r="F81" t="s">
        <v>20</v>
      </c>
      <c r="G81" s="7">
        <v>130000</v>
      </c>
      <c r="H81" s="7">
        <v>71200</v>
      </c>
      <c r="I81" s="12">
        <f t="shared" si="5"/>
        <v>54.769230769230774</v>
      </c>
      <c r="J81" s="7">
        <f>G81-134967</f>
        <v>-4967</v>
      </c>
      <c r="K81" s="7">
        <v>7491</v>
      </c>
      <c r="L81" s="22">
        <v>0.38</v>
      </c>
      <c r="M81" s="22">
        <v>0.38</v>
      </c>
      <c r="N81" s="7">
        <f t="shared" si="6"/>
        <v>-13071.052631578947</v>
      </c>
      <c r="O81" t="s">
        <v>71</v>
      </c>
      <c r="Q81" t="s">
        <v>22</v>
      </c>
    </row>
    <row r="82" spans="1:30" x14ac:dyDescent="0.25">
      <c r="A82" t="s">
        <v>17</v>
      </c>
      <c r="B82" t="s">
        <v>18</v>
      </c>
      <c r="C82" s="17">
        <v>45030</v>
      </c>
      <c r="D82" s="7">
        <v>215000</v>
      </c>
      <c r="E82" t="s">
        <v>19</v>
      </c>
      <c r="F82" t="s">
        <v>20</v>
      </c>
      <c r="G82" s="7">
        <v>215000</v>
      </c>
      <c r="H82" s="7">
        <v>118700</v>
      </c>
      <c r="I82" s="12">
        <f t="shared" si="5"/>
        <v>55.209302325581397</v>
      </c>
      <c r="J82" s="7">
        <f>G82-196653</f>
        <v>18347</v>
      </c>
      <c r="K82" s="7">
        <v>40818</v>
      </c>
      <c r="L82" s="22">
        <v>12.154999999999999</v>
      </c>
      <c r="M82" s="22">
        <v>12.154999999999999</v>
      </c>
      <c r="N82" s="7">
        <f t="shared" si="6"/>
        <v>1509.4199917729329</v>
      </c>
      <c r="O82" t="s">
        <v>21</v>
      </c>
      <c r="Q82" t="s">
        <v>22</v>
      </c>
      <c r="AB82" s="2"/>
      <c r="AD82" s="2"/>
    </row>
    <row r="83" spans="1:30" x14ac:dyDescent="0.25">
      <c r="A83" t="s">
        <v>48</v>
      </c>
      <c r="B83" t="s">
        <v>49</v>
      </c>
      <c r="C83" s="17">
        <v>45450</v>
      </c>
      <c r="D83" s="7">
        <v>300000</v>
      </c>
      <c r="E83" t="s">
        <v>19</v>
      </c>
      <c r="F83" t="s">
        <v>20</v>
      </c>
      <c r="G83" s="7">
        <v>300000</v>
      </c>
      <c r="H83" s="7">
        <v>164000</v>
      </c>
      <c r="I83" s="12">
        <f t="shared" si="5"/>
        <v>54.666666666666664</v>
      </c>
      <c r="J83" s="7">
        <f>G83-165849</f>
        <v>134151</v>
      </c>
      <c r="K83" s="7">
        <v>159587</v>
      </c>
      <c r="L83" s="22">
        <v>80</v>
      </c>
      <c r="M83" s="22">
        <v>80</v>
      </c>
      <c r="N83" s="7">
        <f t="shared" si="6"/>
        <v>1676.8875</v>
      </c>
      <c r="O83" t="s">
        <v>50</v>
      </c>
      <c r="Q83" t="s">
        <v>22</v>
      </c>
    </row>
    <row r="84" spans="1:30" x14ac:dyDescent="0.25">
      <c r="A84" t="s">
        <v>26</v>
      </c>
      <c r="B84" t="s">
        <v>27</v>
      </c>
      <c r="C84" s="17">
        <v>45524</v>
      </c>
      <c r="D84" s="7">
        <v>399900</v>
      </c>
      <c r="E84" t="s">
        <v>19</v>
      </c>
      <c r="F84" t="s">
        <v>20</v>
      </c>
      <c r="G84" s="7">
        <v>399900</v>
      </c>
      <c r="H84" s="7">
        <v>175000</v>
      </c>
      <c r="I84" s="12">
        <f>H84/G84*100</f>
        <v>43.760940235058769</v>
      </c>
      <c r="J84" s="7">
        <f>G84-269120</f>
        <v>130780</v>
      </c>
      <c r="K84" s="7">
        <v>77292</v>
      </c>
      <c r="L84" s="22">
        <v>35.22</v>
      </c>
      <c r="M84" s="22">
        <v>35.22</v>
      </c>
      <c r="N84" s="7">
        <f>J84/L84</f>
        <v>3713.2311186825668</v>
      </c>
      <c r="O84" t="s">
        <v>28</v>
      </c>
      <c r="Q84" t="s">
        <v>22</v>
      </c>
    </row>
    <row r="85" spans="1:30" x14ac:dyDescent="0.25">
      <c r="A85" t="s">
        <v>64</v>
      </c>
      <c r="B85" t="s">
        <v>65</v>
      </c>
      <c r="C85" s="17">
        <v>45058</v>
      </c>
      <c r="D85" s="7">
        <v>153000</v>
      </c>
      <c r="E85" t="s">
        <v>19</v>
      </c>
      <c r="F85" t="s">
        <v>66</v>
      </c>
      <c r="G85" s="7">
        <v>153000</v>
      </c>
      <c r="H85" s="7">
        <v>78100</v>
      </c>
      <c r="I85" s="12">
        <f>H85/G85*100</f>
        <v>51.045751633986924</v>
      </c>
      <c r="J85" s="7">
        <f>G85-28496</f>
        <v>124504</v>
      </c>
      <c r="K85" s="7">
        <v>127580</v>
      </c>
      <c r="L85" s="22">
        <v>32.411999999999999</v>
      </c>
      <c r="M85" s="22">
        <v>27.052</v>
      </c>
      <c r="N85" s="7">
        <f>J85/L85</f>
        <v>3841.2933481426635</v>
      </c>
      <c r="O85" t="s">
        <v>67</v>
      </c>
      <c r="P85" t="s">
        <v>68</v>
      </c>
      <c r="Q85" t="s">
        <v>22</v>
      </c>
    </row>
    <row r="86" spans="1:30" x14ac:dyDescent="0.25">
      <c r="A86" t="s">
        <v>124</v>
      </c>
      <c r="B86" t="s">
        <v>125</v>
      </c>
      <c r="C86" s="17">
        <v>45415</v>
      </c>
      <c r="D86" s="7">
        <v>47000</v>
      </c>
      <c r="E86" t="s">
        <v>92</v>
      </c>
      <c r="F86" t="s">
        <v>66</v>
      </c>
      <c r="G86" s="7">
        <v>47000</v>
      </c>
      <c r="H86" s="7">
        <v>24000</v>
      </c>
      <c r="I86" s="12">
        <f>H86/G86*100</f>
        <v>51.063829787234042</v>
      </c>
      <c r="J86" s="7">
        <f>G86-0</f>
        <v>47000</v>
      </c>
      <c r="K86" s="7">
        <v>48117</v>
      </c>
      <c r="L86" s="22">
        <v>13.69</v>
      </c>
      <c r="M86" s="22">
        <v>2.5</v>
      </c>
      <c r="N86" s="7">
        <f>J86/L86</f>
        <v>3433.162892622352</v>
      </c>
      <c r="O86" t="s">
        <v>126</v>
      </c>
      <c r="P86" t="s">
        <v>127</v>
      </c>
      <c r="Q86" t="s">
        <v>22</v>
      </c>
    </row>
    <row r="87" spans="1:30" x14ac:dyDescent="0.25">
      <c r="A87" t="s">
        <v>127</v>
      </c>
      <c r="B87" t="s">
        <v>125</v>
      </c>
      <c r="C87" s="17">
        <v>45415</v>
      </c>
      <c r="D87" s="7">
        <v>47000</v>
      </c>
      <c r="E87" t="s">
        <v>92</v>
      </c>
      <c r="F87" t="s">
        <v>66</v>
      </c>
      <c r="G87" s="7">
        <v>47000</v>
      </c>
      <c r="H87" s="7">
        <v>24000</v>
      </c>
      <c r="I87" s="12">
        <f>H87/G87*100</f>
        <v>51.063829787234042</v>
      </c>
      <c r="J87" s="7">
        <f>G87-0</f>
        <v>47000</v>
      </c>
      <c r="K87" s="7">
        <v>48117</v>
      </c>
      <c r="L87" s="22">
        <v>13.69</v>
      </c>
      <c r="M87" s="22">
        <v>11.19</v>
      </c>
      <c r="N87" s="7">
        <f>J87/L87</f>
        <v>3433.162892622352</v>
      </c>
      <c r="O87" t="s">
        <v>126</v>
      </c>
      <c r="P87" t="s">
        <v>124</v>
      </c>
      <c r="Q87" t="s">
        <v>22</v>
      </c>
    </row>
    <row r="88" spans="1:30" x14ac:dyDescent="0.25">
      <c r="A88" t="s">
        <v>120</v>
      </c>
      <c r="B88" t="s">
        <v>121</v>
      </c>
      <c r="C88" s="17">
        <v>45037</v>
      </c>
      <c r="D88" s="7">
        <v>14500</v>
      </c>
      <c r="E88" t="s">
        <v>19</v>
      </c>
      <c r="F88" t="s">
        <v>20</v>
      </c>
      <c r="G88" s="7">
        <v>14500</v>
      </c>
      <c r="H88" s="7">
        <v>11700</v>
      </c>
      <c r="I88" s="12">
        <f>H88/G88*100</f>
        <v>80.689655172413794</v>
      </c>
      <c r="J88" s="7">
        <f>G88-0</f>
        <v>14500</v>
      </c>
      <c r="K88" s="7">
        <v>23395</v>
      </c>
      <c r="L88" s="22">
        <v>4.7699999999999996</v>
      </c>
      <c r="M88" s="22">
        <v>4.7699999999999996</v>
      </c>
      <c r="N88" s="7">
        <f>J88/L88</f>
        <v>3039.8322851153043</v>
      </c>
      <c r="O88" t="s">
        <v>122</v>
      </c>
      <c r="Q88" t="s">
        <v>22</v>
      </c>
    </row>
    <row r="89" spans="1:30" x14ac:dyDescent="0.25">
      <c r="A89" t="s">
        <v>87</v>
      </c>
      <c r="B89" t="s">
        <v>88</v>
      </c>
      <c r="C89" s="17">
        <v>45324</v>
      </c>
      <c r="D89" s="7">
        <v>135000</v>
      </c>
      <c r="E89" t="s">
        <v>19</v>
      </c>
      <c r="F89" t="s">
        <v>20</v>
      </c>
      <c r="G89" s="7">
        <v>135000</v>
      </c>
      <c r="H89" s="7">
        <v>71400</v>
      </c>
      <c r="I89" s="12">
        <f>H89/G89*100</f>
        <v>52.888888888888886</v>
      </c>
      <c r="J89" s="7">
        <f>G89-123539</f>
        <v>11461</v>
      </c>
      <c r="K89" s="7">
        <v>15767</v>
      </c>
      <c r="L89" s="22">
        <v>2.39</v>
      </c>
      <c r="M89" s="22">
        <v>2.39</v>
      </c>
      <c r="N89" s="7">
        <f>J89/L89</f>
        <v>4795.3974895397487</v>
      </c>
      <c r="O89" t="s">
        <v>89</v>
      </c>
      <c r="Q89" t="s">
        <v>22</v>
      </c>
    </row>
  </sheetData>
  <conditionalFormatting sqref="A70:R71 A2:R18 A20:R31 A79:R89">
    <cfRule type="expression" dxfId="5" priority="11" stopIfTrue="1">
      <formula>MOD(ROW(),4)&gt;1</formula>
    </cfRule>
    <cfRule type="expression" dxfId="4" priority="12" stopIfTrue="1">
      <formula>MOD(ROW(),4)&lt;2</formula>
    </cfRule>
  </conditionalFormatting>
  <conditionalFormatting sqref="A32:R45 A47:R69">
    <cfRule type="expression" dxfId="3" priority="5" stopIfTrue="1">
      <formula>MOD(ROW(),4)&gt;1</formula>
    </cfRule>
    <cfRule type="expression" dxfId="2" priority="6" stopIfTrue="1">
      <formula>MOD(ROW(),4)&lt;2</formula>
    </cfRule>
  </conditionalFormatting>
  <conditionalFormatting sqref="E46:F46">
    <cfRule type="expression" dxfId="1" priority="3" stopIfTrue="1">
      <formula>MOD(ROW(),4)&gt;1</formula>
    </cfRule>
    <cfRule type="expression" dxfId="0" priority="4" stopIfTrue="1">
      <formula>MOD(ROW(),4)&lt;2</formula>
    </cfRule>
  </conditionalFormatting>
  <pageMargins left="0.7" right="0.7" top="0.75" bottom="0.75" header="0.3" footer="0.3"/>
  <pageSetup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00518B-1185-4429-A0D6-E3879C9788AE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Land Analysis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assessor WatertownTownship</dc:creator>
  <cp:lastModifiedBy>assessor WatertownTownship</cp:lastModifiedBy>
  <dcterms:created xsi:type="dcterms:W3CDTF">2026-01-06T16:47:02Z</dcterms:created>
  <dcterms:modified xsi:type="dcterms:W3CDTF">2026-02-03T19:43:45Z</dcterms:modified>
</cp:coreProperties>
</file>