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258E0B11-AC46-40D0-848C-5E75AE7844EB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1" sheetId="1" r:id="rId1"/>
  </sheets>
  <definedNames>
    <definedName name="_xlnm.Print_Area" localSheetId="0">Sheet1!$A$1:$R$24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5" i="1" l="1"/>
  <c r="N25" i="1"/>
  <c r="P25" i="1" s="1"/>
  <c r="T25" i="1" s="1"/>
  <c r="M25" i="1"/>
  <c r="K25" i="1"/>
  <c r="L5" i="1" l="1"/>
  <c r="O9" i="1" l="1"/>
  <c r="O8" i="1"/>
  <c r="O6" i="1"/>
  <c r="O5" i="1"/>
  <c r="M11" i="1" l="1"/>
  <c r="N11" i="1" s="1"/>
  <c r="P11" i="1" s="1"/>
  <c r="M9" i="1"/>
  <c r="N9" i="1" s="1"/>
  <c r="P9" i="1" s="1"/>
  <c r="M8" i="1"/>
  <c r="M6" i="1"/>
  <c r="K11" i="1"/>
  <c r="N24" i="1"/>
  <c r="P24" i="1" s="1"/>
  <c r="K24" i="1"/>
  <c r="K9" i="1"/>
  <c r="M5" i="1" l="1"/>
  <c r="J5" i="1"/>
  <c r="N5" i="1" l="1"/>
  <c r="N6" i="1"/>
  <c r="P6" i="1" s="1"/>
  <c r="N8" i="1"/>
  <c r="P8" i="1" s="1"/>
  <c r="K5" i="1"/>
  <c r="K6" i="1"/>
  <c r="K8" i="1"/>
  <c r="P5" i="1" l="1"/>
  <c r="S16" i="1" l="1"/>
  <c r="P17" i="1"/>
  <c r="T24" i="1" l="1"/>
  <c r="T11" i="1"/>
  <c r="T6" i="1"/>
  <c r="T5" i="1"/>
  <c r="T8" i="1"/>
  <c r="T9" i="1"/>
  <c r="S17" i="1" l="1"/>
  <c r="U17" i="1" s="1"/>
  <c r="O13" i="1"/>
  <c r="N13" i="1"/>
  <c r="P16" i="1" s="1"/>
</calcChain>
</file>

<file path=xl/sharedStrings.xml><?xml version="1.0" encoding="utf-8"?>
<sst xmlns="http://schemas.openxmlformats.org/spreadsheetml/2006/main" count="105" uniqueCount="61">
  <si>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</si>
  <si>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</si>
  <si>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</si>
  <si>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</si>
  <si>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</si>
  <si>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</si>
  <si>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</si>
  <si>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</si>
  <si>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</si>
  <si>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Land + Yard</t>
  </si>
  <si>
    <t>Bldg. Residual</t>
  </si>
  <si>
    <t>Cost Man. $</t>
  </si>
  <si>
    <t>E.C.F.</t>
  </si>
  <si>
    <t>Floor Area</t>
  </si>
  <si>
    <t>$/Sq.Ft.</t>
  </si>
  <si>
    <t>ECF Area</t>
  </si>
  <si>
    <t>Dev. by Mean (%)</t>
  </si>
  <si>
    <t>Building Style</t>
  </si>
  <si>
    <t>Appr. by Eq.</t>
  </si>
  <si>
    <t>Appr. Date</t>
  </si>
  <si>
    <t>Other Parcels in Sale</t>
  </si>
  <si>
    <t>Land Table</t>
  </si>
  <si>
    <t>Property Class</t>
  </si>
  <si>
    <t>WD</t>
  </si>
  <si>
    <t xml:space="preserve"> </t>
  </si>
  <si>
    <t>split</t>
  </si>
  <si>
    <t>AG E.C.F. =&gt;</t>
  </si>
  <si>
    <t>AG Ave. E.C.F. =&gt;</t>
  </si>
  <si>
    <t>Res Imp</t>
  </si>
  <si>
    <t>Res imp</t>
  </si>
  <si>
    <t>005-032-000-1400-02</t>
  </si>
  <si>
    <t>1255 E Brown Rd</t>
  </si>
  <si>
    <t>Ag-Imp</t>
  </si>
  <si>
    <t>Confidential</t>
  </si>
  <si>
    <t>002-027-000-2900-02</t>
  </si>
  <si>
    <t>160 W Deckerville Rd</t>
  </si>
  <si>
    <t>Ag-imp</t>
  </si>
  <si>
    <t>011-028-000-2200-02</t>
  </si>
  <si>
    <t>1548 W Saginaw Rd</t>
  </si>
  <si>
    <t>Includes 011-028-000-2200-03</t>
  </si>
  <si>
    <t>005-003-000-1000-01</t>
  </si>
  <si>
    <t>3570 E Sanilac Rd</t>
  </si>
  <si>
    <t>003-020-100-0610-00</t>
  </si>
  <si>
    <t>9147 W Barnes Rd</t>
  </si>
  <si>
    <t>Res-Imp</t>
  </si>
  <si>
    <t>10.28.24 Albrecht</t>
  </si>
  <si>
    <t>038-24-0002</t>
  </si>
  <si>
    <t>740-24-0046</t>
  </si>
  <si>
    <t>181-24-0012</t>
  </si>
  <si>
    <t>4.18.24 Zillow</t>
  </si>
  <si>
    <t>005-004-000-0700-01</t>
  </si>
  <si>
    <t>560-22-0004</t>
  </si>
  <si>
    <t>3610 S Hurds Corner Rd</t>
  </si>
  <si>
    <t>005-018-000-1000-04</t>
  </si>
  <si>
    <t>761-24-0001</t>
  </si>
  <si>
    <t>4815 Cat Lake Rd</t>
  </si>
  <si>
    <t>Std. Deviation=&gt;</t>
  </si>
  <si>
    <t>Ave. Variance=&gt;</t>
  </si>
  <si>
    <t>Coefficient of Var=&gt;</t>
  </si>
  <si>
    <t>Cur. Appraisal</t>
  </si>
  <si>
    <t>County Sales for Watertown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</si>
</sst>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_);[Red]\(&quot;$&quot;#,##0\)"/>
    <numFmt numFmtId="164" formatCode="mm/dd/yy"/>
    <numFmt numFmtId="165" formatCode="#0.00_);[Red]\(#0.00\)"/>
    <numFmt numFmtId="166" formatCode="#0.000_);[Red]\(#0.000\)"/>
    <numFmt numFmtId="167" formatCode="&quot;$&quot;#0.00_);[Red]\(&quot;$&quot;#0.00\)"/>
    <numFmt numFmtId="168" formatCode="#0.0000_);[Red]\(#0.0000\)"/>
    <numFmt numFmtId="169" formatCode="0.000"/>
    <numFmt numFmtId="170" formatCode="0.000_);[Red]\(0.000\)"/>
  </numFmts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8F8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6" fontId="0" fillId="0" borderId="0" xfId="0" applyNumberFormat="1"/>
    <xf numFmtId="165" fontId="0" fillId="0" borderId="0" xfId="0" applyNumberFormat="1"/>
    <xf numFmtId="166" fontId="0" fillId="0" borderId="0" xfId="0" applyNumberFormat="1"/>
    <xf numFmtId="38" fontId="0" fillId="0" borderId="0" xfId="0" applyNumberFormat="1"/>
    <xf numFmtId="167" fontId="0" fillId="0" borderId="0" xfId="0" applyNumberFormat="1"/>
    <xf numFmtId="49" fontId="0" fillId="0" borderId="0" xfId="0" applyNumberFormat="1" applyAlignment="1">
      <alignment horizontal="right"/>
    </xf>
    <xf numFmtId="168" fontId="0" fillId="0" borderId="0" xfId="0" applyNumberForma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6" fontId="2" fillId="2" borderId="0" xfId="0" applyNumberFormat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6" fontId="2" fillId="2" borderId="0" xfId="0" applyNumberFormat="1" applyFont="1" applyFill="1" applyAlignment="1">
      <alignment horizontal="center"/>
    </xf>
    <xf numFmtId="38" fontId="2" fillId="2" borderId="0" xfId="0" applyNumberFormat="1" applyFont="1" applyFill="1" applyAlignment="1">
      <alignment horizontal="center"/>
    </xf>
    <xf numFmtId="167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right"/>
    </xf>
    <xf numFmtId="168" fontId="2" fillId="2" borderId="0" xfId="0" applyNumberFormat="1" applyFon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164" fontId="3" fillId="3" borderId="0" xfId="0" applyNumberFormat="1" applyFont="1" applyFill="1"/>
    <xf numFmtId="6" fontId="3" fillId="3" borderId="0" xfId="0" applyNumberFormat="1" applyFont="1" applyFill="1"/>
    <xf numFmtId="165" fontId="3" fillId="3" borderId="0" xfId="0" applyNumberFormat="1" applyFont="1" applyFill="1"/>
    <xf numFmtId="38" fontId="3" fillId="3" borderId="0" xfId="0" applyNumberFormat="1" applyFont="1" applyFill="1"/>
    <xf numFmtId="167" fontId="3" fillId="3" borderId="0" xfId="0" applyNumberFormat="1" applyFont="1" applyFill="1"/>
    <xf numFmtId="49" fontId="3" fillId="3" borderId="0" xfId="0" applyNumberFormat="1" applyFont="1" applyFill="1" applyAlignment="1">
      <alignment horizontal="right"/>
    </xf>
    <xf numFmtId="168" fontId="3" fillId="3" borderId="0" xfId="0" applyNumberFormat="1" applyFont="1" applyFill="1"/>
    <xf numFmtId="6" fontId="3" fillId="3" borderId="1" xfId="0" applyNumberFormat="1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/>
    <xf numFmtId="165" fontId="3" fillId="3" borderId="1" xfId="0" applyNumberFormat="1" applyFont="1" applyFill="1" applyBorder="1"/>
    <xf numFmtId="38" fontId="3" fillId="3" borderId="1" xfId="0" applyNumberFormat="1" applyFont="1" applyFill="1" applyBorder="1"/>
    <xf numFmtId="167" fontId="3" fillId="3" borderId="1" xfId="0" applyNumberFormat="1" applyFont="1" applyFill="1" applyBorder="1"/>
    <xf numFmtId="170" fontId="3" fillId="3" borderId="1" xfId="0" applyNumberFormat="1" applyFont="1" applyFill="1" applyBorder="1" applyAlignment="1">
      <alignment horizontal="right"/>
    </xf>
    <xf numFmtId="168" fontId="3" fillId="3" borderId="1" xfId="0" applyNumberFormat="1" applyFont="1" applyFill="1" applyBorder="1"/>
    <xf numFmtId="0" fontId="1" fillId="3" borderId="0" xfId="0" applyFont="1" applyFill="1"/>
    <xf numFmtId="166" fontId="3" fillId="3" borderId="0" xfId="0" applyNumberFormat="1" applyFont="1" applyFill="1"/>
    <xf numFmtId="168" fontId="3" fillId="3" borderId="0" xfId="0" applyNumberFormat="1" applyFont="1" applyFill="1" applyAlignment="1">
      <alignment horizontal="right"/>
    </xf>
    <xf numFmtId="0" fontId="0" fillId="0" borderId="0" xfId="0" applyAlignment="1">
      <alignment horizontal="left"/>
    </xf>
    <xf numFmtId="169" fontId="3" fillId="0" borderId="0" xfId="0" applyNumberFormat="1" applyFont="1" applyAlignment="1">
      <alignment horizontal="right"/>
    </xf>
    <xf numFmtId="0" fontId="0" fillId="0" borderId="1" xfId="0" applyBorder="1"/>
    <xf numFmtId="166" fontId="3" fillId="4" borderId="0" xfId="0" applyNumberFormat="1" applyFont="1" applyFill="1"/>
    <xf numFmtId="6" fontId="3" fillId="4" borderId="0" xfId="0" applyNumberFormat="1" applyFont="1" applyFill="1"/>
    <xf numFmtId="38" fontId="3" fillId="4" borderId="0" xfId="0" applyNumberFormat="1" applyFont="1" applyFill="1"/>
    <xf numFmtId="6" fontId="3" fillId="5" borderId="1" xfId="0" applyNumberFormat="1" applyFont="1" applyFill="1" applyBorder="1"/>
    <xf numFmtId="49" fontId="3" fillId="3" borderId="1" xfId="0" applyNumberFormat="1" applyFont="1" applyFill="1" applyBorder="1" applyAlignment="1">
      <alignment horizontal="right"/>
    </xf>
    <xf numFmtId="0" fontId="4" fillId="0" borderId="0" xfId="0" applyFont="1"/>
    <xf numFmtId="0" fontId="5" fillId="6" borderId="0" xfId="0" applyFont="1" applyFill="1"/>
    <xf numFmtId="166" fontId="3" fillId="0" borderId="1" xfId="0" applyNumberFormat="1" applyFont="1" applyBorder="1"/>
    <xf numFmtId="166" fontId="3" fillId="5" borderId="0" xfId="0" applyNumberFormat="1" applyFont="1" applyFill="1"/>
    <xf numFmtId="166" fontId="0" fillId="0" borderId="1" xfId="0" applyNumberFormat="1" applyBorder="1"/>
    <xf numFmtId="3" fontId="0" fillId="0" borderId="0" xfId="0" applyNumberFormat="1"/>
    <xf numFmtId="3" fontId="2" fillId="2" borderId="0" xfId="0" applyNumberFormat="1" applyFont="1" applyFill="1" applyAlignment="1">
      <alignment horizontal="center"/>
    </xf>
    <xf numFmtId="3" fontId="3" fillId="3" borderId="0" xfId="0" applyNumberFormat="1" applyFont="1" applyFill="1"/>
    <xf numFmtId="3" fontId="3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F8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5"/>
  <sheetViews>
    <sheetView tabSelected="1" topLeftCell="C1" zoomScale="80" zoomScaleNormal="80" workbookViewId="0">
      <selection activeCell="P16" sqref="P16"/>
    </sheetView>
  </sheetViews>
  <sheetFormatPr defaultRowHeight="15" x14ac:dyDescent="0.25"/>
  <cols>
    <col min="1" max="1" width="25" customWidth="1"/>
    <col min="2" max="2" width="23.5703125" bestFit="1" customWidth="1"/>
    <col min="3" max="3" width="13" style="1" bestFit="1" customWidth="1"/>
    <col min="4" max="4" width="30.5703125" bestFit="1" customWidth="1"/>
    <col min="5" max="5" width="13.5703125" style="2" customWidth="1"/>
    <col min="6" max="6" width="12.42578125" style="3" customWidth="1"/>
    <col min="7" max="7" width="5.5703125" bestFit="1" customWidth="1"/>
    <col min="8" max="8" width="13.5703125" customWidth="1"/>
    <col min="9" max="9" width="12.42578125" style="3" customWidth="1"/>
    <col min="10" max="10" width="19.140625" style="3" customWidth="1"/>
    <col min="11" max="11" width="22.42578125" style="4" customWidth="1"/>
    <col min="12" max="12" width="14.42578125" style="53" customWidth="1"/>
    <col min="13" max="13" width="18.140625" style="3" customWidth="1"/>
    <col min="14" max="15" width="16" style="3" customWidth="1"/>
    <col min="16" max="16" width="15.140625" style="5" customWidth="1"/>
    <col min="17" max="17" width="10.140625" style="6" bestFit="1" customWidth="1"/>
    <col min="18" max="18" width="20.85546875" style="7" customWidth="1"/>
    <col min="19" max="19" width="14.28515625" style="8" customWidth="1"/>
    <col min="20" max="20" width="18.85546875" style="9" bestFit="1" customWidth="1"/>
    <col min="21" max="21" width="16" bestFit="1" customWidth="1"/>
    <col min="22" max="22" width="11.5703125" bestFit="1" customWidth="1"/>
    <col min="23" max="23" width="10.42578125" style="2" bestFit="1" customWidth="1"/>
    <col min="24" max="24" width="38.7109375" bestFit="1" customWidth="1"/>
    <col min="25" max="25" width="20.42578125" bestFit="1" customWidth="1"/>
    <col min="26" max="26" width="13.7109375" bestFit="1" customWidth="1"/>
    <col min="27" max="27" width="18.140625" customWidth="1"/>
  </cols>
  <sheetData>
    <row r="1" spans="1:26" x14ac:dyDescent="0.25">
      <c r="G1" s="49"/>
      <c r="H1" s="48" t="s">
        <v>33</v>
      </c>
    </row>
    <row r="3" spans="1:26" x14ac:dyDescent="0.25">
      <c r="A3" s="37" t="s">
        <v>60</v>
      </c>
      <c r="B3" s="37"/>
      <c r="C3" s="20"/>
      <c r="D3" s="19"/>
      <c r="E3" s="21"/>
      <c r="F3" s="22"/>
      <c r="G3" s="19"/>
      <c r="H3" s="19"/>
      <c r="I3" s="22"/>
      <c r="J3" s="22"/>
      <c r="K3" s="23"/>
      <c r="L3" s="55"/>
      <c r="M3" s="22"/>
      <c r="N3" s="22"/>
      <c r="O3" s="22"/>
      <c r="P3" s="38"/>
      <c r="Q3" s="24"/>
      <c r="R3" s="25"/>
      <c r="S3" s="39"/>
      <c r="T3" s="27"/>
      <c r="U3" s="19"/>
      <c r="V3" s="19"/>
      <c r="W3" s="21"/>
      <c r="X3" s="19"/>
      <c r="Y3" s="19"/>
      <c r="Z3" s="19"/>
    </row>
    <row r="4" spans="1:26" x14ac:dyDescent="0.25">
      <c r="A4" s="10" t="s">
        <v>0</v>
      </c>
      <c r="B4" s="10"/>
      <c r="C4" s="10"/>
      <c r="D4" s="10" t="s">
        <v>1</v>
      </c>
      <c r="E4" s="11" t="s">
        <v>2</v>
      </c>
      <c r="F4" s="12" t="s">
        <v>3</v>
      </c>
      <c r="G4" s="10" t="s">
        <v>4</v>
      </c>
      <c r="H4" s="10" t="s">
        <v>5</v>
      </c>
      <c r="I4" s="12" t="s">
        <v>6</v>
      </c>
      <c r="J4" s="12" t="s">
        <v>7</v>
      </c>
      <c r="K4" s="13" t="s">
        <v>8</v>
      </c>
      <c r="L4" s="54" t="s">
        <v>59</v>
      </c>
      <c r="M4" s="12" t="s">
        <v>9</v>
      </c>
      <c r="N4" s="12" t="s">
        <v>10</v>
      </c>
      <c r="O4" s="12" t="s">
        <v>11</v>
      </c>
      <c r="P4" s="14" t="s">
        <v>12</v>
      </c>
      <c r="Q4" s="15" t="s">
        <v>13</v>
      </c>
      <c r="R4" s="16" t="s">
        <v>14</v>
      </c>
      <c r="S4" s="17" t="s">
        <v>15</v>
      </c>
      <c r="T4" s="18" t="s">
        <v>16</v>
      </c>
      <c r="U4" s="10" t="s">
        <v>17</v>
      </c>
      <c r="V4" s="10" t="s">
        <v>18</v>
      </c>
      <c r="W4" s="11" t="s">
        <v>19</v>
      </c>
      <c r="X4" s="10" t="s">
        <v>20</v>
      </c>
      <c r="Y4" s="10" t="s">
        <v>21</v>
      </c>
      <c r="Z4" s="10" t="s">
        <v>22</v>
      </c>
    </row>
    <row r="5" spans="1:26" x14ac:dyDescent="0.25">
      <c r="A5" s="40" t="s">
        <v>37</v>
      </c>
      <c r="B5" s="40" t="s">
        <v>47</v>
      </c>
      <c r="C5" s="1" t="s">
        <v>25</v>
      </c>
      <c r="D5" t="s">
        <v>38</v>
      </c>
      <c r="E5" s="2">
        <v>45639</v>
      </c>
      <c r="F5" s="3">
        <v>170000</v>
      </c>
      <c r="G5" t="s">
        <v>23</v>
      </c>
      <c r="H5" t="s">
        <v>28</v>
      </c>
      <c r="I5" s="3">
        <v>170000</v>
      </c>
      <c r="J5" s="3">
        <f>75000+47200</f>
        <v>122200</v>
      </c>
      <c r="K5" s="4">
        <f t="shared" ref="K5:K9" si="0">J5/I5*100</f>
        <v>71.882352941176478</v>
      </c>
      <c r="L5" s="53">
        <f>94324+94067</f>
        <v>188391</v>
      </c>
      <c r="M5" s="3">
        <f>39895+39895</f>
        <v>79790</v>
      </c>
      <c r="N5" s="3">
        <f t="shared" ref="N5:N9" si="1">I5-M5</f>
        <v>90210</v>
      </c>
      <c r="O5" s="3">
        <f>72669+3043+14497+11116+1899+1974+1708+19801+3141+7758+3696+3696</f>
        <v>144998</v>
      </c>
      <c r="P5" s="5">
        <f t="shared" ref="P5:P9" si="2">N5/O5</f>
        <v>0.62214651236568785</v>
      </c>
      <c r="R5" s="7" t="s">
        <v>39</v>
      </c>
      <c r="T5" s="9">
        <f>ABS($P$17-P5)*100</f>
        <v>11.540396147357191</v>
      </c>
    </row>
    <row r="6" spans="1:26" x14ac:dyDescent="0.25">
      <c r="A6" s="40" t="s">
        <v>42</v>
      </c>
      <c r="B6" s="40" t="s">
        <v>49</v>
      </c>
      <c r="D6" t="s">
        <v>43</v>
      </c>
      <c r="E6" s="2">
        <v>45443</v>
      </c>
      <c r="F6" s="3">
        <v>329900</v>
      </c>
      <c r="G6" t="s">
        <v>23</v>
      </c>
      <c r="H6" t="s">
        <v>32</v>
      </c>
      <c r="I6" s="3">
        <v>329900</v>
      </c>
      <c r="J6" s="3">
        <v>150700</v>
      </c>
      <c r="K6" s="4">
        <f t="shared" si="0"/>
        <v>45.680509245225828</v>
      </c>
      <c r="L6" s="53">
        <v>304013</v>
      </c>
      <c r="M6" s="3">
        <f>77556+4531</f>
        <v>82087</v>
      </c>
      <c r="N6" s="3">
        <f t="shared" si="1"/>
        <v>247813</v>
      </c>
      <c r="O6" s="3">
        <f>276393+13603+6779+2666</f>
        <v>299441</v>
      </c>
      <c r="P6" s="5">
        <f t="shared" si="2"/>
        <v>0.82758540079681808</v>
      </c>
      <c r="T6" s="9">
        <f t="shared" ref="T6:T11" si="3">ABS($P$17-P6)*100</f>
        <v>9.003492695755833</v>
      </c>
    </row>
    <row r="7" spans="1:26" x14ac:dyDescent="0.25">
      <c r="A7" s="40"/>
      <c r="B7" s="40"/>
    </row>
    <row r="8" spans="1:26" x14ac:dyDescent="0.25">
      <c r="A8" s="40" t="s">
        <v>50</v>
      </c>
      <c r="B8" s="40" t="s">
        <v>51</v>
      </c>
      <c r="C8" s="1" t="s">
        <v>25</v>
      </c>
      <c r="D8" t="s">
        <v>52</v>
      </c>
      <c r="E8" s="2">
        <v>45281</v>
      </c>
      <c r="F8" s="3">
        <v>280000</v>
      </c>
      <c r="G8" t="s">
        <v>23</v>
      </c>
      <c r="H8" t="s">
        <v>44</v>
      </c>
      <c r="I8" s="3">
        <v>280000</v>
      </c>
      <c r="J8" s="3">
        <v>196700</v>
      </c>
      <c r="K8" s="4">
        <f t="shared" si="0"/>
        <v>70.25</v>
      </c>
      <c r="L8" s="53">
        <v>280148</v>
      </c>
      <c r="M8" s="3">
        <f>76824+21180</f>
        <v>98004</v>
      </c>
      <c r="N8" s="3">
        <f t="shared" si="1"/>
        <v>181996</v>
      </c>
      <c r="O8" s="3">
        <f>218620+26773+2676</f>
        <v>248069</v>
      </c>
      <c r="P8" s="5">
        <f>N8/O8</f>
        <v>0.73365071814696714</v>
      </c>
      <c r="T8" s="9">
        <f t="shared" si="3"/>
        <v>0.38997556922926169</v>
      </c>
    </row>
    <row r="9" spans="1:26" x14ac:dyDescent="0.25">
      <c r="A9" s="40" t="s">
        <v>53</v>
      </c>
      <c r="B9" s="40" t="s">
        <v>54</v>
      </c>
      <c r="C9" s="1" t="s">
        <v>25</v>
      </c>
      <c r="D9" t="s">
        <v>55</v>
      </c>
      <c r="E9" s="2">
        <v>45600</v>
      </c>
      <c r="F9" s="3">
        <v>295000</v>
      </c>
      <c r="G9" t="s">
        <v>23</v>
      </c>
      <c r="H9" t="s">
        <v>32</v>
      </c>
      <c r="I9" s="3">
        <v>295000</v>
      </c>
      <c r="J9" s="3">
        <v>134100</v>
      </c>
      <c r="K9" s="4">
        <f t="shared" si="0"/>
        <v>45.457627118644069</v>
      </c>
      <c r="L9" s="53">
        <v>295519</v>
      </c>
      <c r="M9" s="3">
        <f>155046+1340</f>
        <v>156386</v>
      </c>
      <c r="N9" s="3">
        <f t="shared" si="1"/>
        <v>138614</v>
      </c>
      <c r="O9" s="3">
        <f>182010+11310</f>
        <v>193320</v>
      </c>
      <c r="P9" s="5">
        <f t="shared" si="2"/>
        <v>0.71701841506310782</v>
      </c>
      <c r="T9" s="9">
        <f t="shared" si="3"/>
        <v>2.053205877615194</v>
      </c>
    </row>
    <row r="11" spans="1:26" x14ac:dyDescent="0.25">
      <c r="A11" s="40" t="s">
        <v>30</v>
      </c>
      <c r="B11" s="40" t="s">
        <v>46</v>
      </c>
      <c r="D11" t="s">
        <v>31</v>
      </c>
      <c r="E11" s="2">
        <v>45338</v>
      </c>
      <c r="F11" s="3">
        <v>90000</v>
      </c>
      <c r="G11" t="s">
        <v>23</v>
      </c>
      <c r="H11" t="s">
        <v>29</v>
      </c>
      <c r="I11" s="3">
        <v>90000</v>
      </c>
      <c r="J11" s="3">
        <v>52500</v>
      </c>
      <c r="K11" s="4">
        <f>J11/I11*100</f>
        <v>58.333333333333336</v>
      </c>
      <c r="L11" s="53">
        <v>85391</v>
      </c>
      <c r="M11" s="3">
        <f>9179+260</f>
        <v>9439</v>
      </c>
      <c r="N11" s="3">
        <f>I11-M11</f>
        <v>80561</v>
      </c>
      <c r="O11" s="3">
        <v>102319</v>
      </c>
      <c r="P11" s="5">
        <f>N11/O11</f>
        <v>0.787351322823718</v>
      </c>
      <c r="T11" s="9">
        <f t="shared" si="3"/>
        <v>4.9800848984458241</v>
      </c>
    </row>
    <row r="12" spans="1:26" x14ac:dyDescent="0.25">
      <c r="A12" s="40"/>
      <c r="B12" s="40"/>
    </row>
    <row r="13" spans="1:26" s="42" customFormat="1" x14ac:dyDescent="0.25">
      <c r="A13" s="29"/>
      <c r="B13" s="29"/>
      <c r="C13" s="30"/>
      <c r="D13" s="29"/>
      <c r="E13" s="31"/>
      <c r="F13" s="28"/>
      <c r="G13" s="29"/>
      <c r="H13" s="29"/>
      <c r="I13" s="28"/>
      <c r="J13" s="28"/>
      <c r="K13" s="32"/>
      <c r="L13" s="56"/>
      <c r="M13" s="28"/>
      <c r="N13" s="46">
        <f>SUM(N5:N12)</f>
        <v>739194</v>
      </c>
      <c r="O13" s="46">
        <f>SUM(O5:O12)</f>
        <v>988147</v>
      </c>
      <c r="P13" s="52"/>
      <c r="Q13" s="33"/>
      <c r="R13" s="34"/>
      <c r="S13" s="47"/>
      <c r="T13" s="36"/>
      <c r="U13" s="29"/>
      <c r="V13" s="29"/>
      <c r="W13" s="31"/>
      <c r="X13" s="29"/>
      <c r="Y13" s="29"/>
      <c r="Z13" s="29"/>
    </row>
    <row r="14" spans="1:26" x14ac:dyDescent="0.25">
      <c r="A14" s="19"/>
      <c r="B14" s="19"/>
      <c r="C14" s="20"/>
      <c r="D14" s="19"/>
      <c r="E14" s="21"/>
      <c r="F14" s="22"/>
      <c r="G14" s="19"/>
      <c r="H14" s="19"/>
      <c r="I14" s="22"/>
      <c r="J14" s="22"/>
      <c r="K14" s="23"/>
      <c r="L14" s="55"/>
      <c r="M14" s="22"/>
      <c r="N14" s="22"/>
      <c r="O14" s="44"/>
      <c r="P14" s="43"/>
      <c r="Q14" s="45"/>
      <c r="R14" s="25"/>
      <c r="S14" s="26"/>
      <c r="T14" s="27"/>
      <c r="U14" s="19"/>
      <c r="V14" s="19"/>
      <c r="W14" s="21"/>
      <c r="X14" s="19"/>
      <c r="Y14" s="19"/>
      <c r="Z14" s="19"/>
    </row>
    <row r="15" spans="1:26" x14ac:dyDescent="0.25">
      <c r="A15" s="19"/>
      <c r="B15" s="19"/>
      <c r="C15" s="20"/>
      <c r="D15" s="19"/>
      <c r="E15" s="21"/>
      <c r="F15" s="22"/>
      <c r="G15" s="19"/>
      <c r="H15" s="19"/>
      <c r="I15" s="22"/>
      <c r="J15" s="22"/>
      <c r="K15" s="23"/>
      <c r="L15" s="55"/>
      <c r="M15" s="22"/>
      <c r="N15" s="22"/>
      <c r="O15" s="44"/>
      <c r="P15" s="43"/>
      <c r="Q15" s="45"/>
      <c r="R15" s="25"/>
      <c r="S15" s="26"/>
      <c r="T15" s="27"/>
      <c r="U15" s="19"/>
      <c r="V15" s="19"/>
      <c r="W15" s="21"/>
      <c r="X15" s="19"/>
      <c r="Y15" s="19"/>
      <c r="Z15" s="19"/>
    </row>
    <row r="16" spans="1:26" x14ac:dyDescent="0.25">
      <c r="A16" s="19"/>
      <c r="B16" s="19"/>
      <c r="C16" s="20"/>
      <c r="D16" s="19"/>
      <c r="E16" s="21"/>
      <c r="F16" s="22"/>
      <c r="G16" s="19"/>
      <c r="H16" s="19"/>
      <c r="I16" s="22"/>
      <c r="J16" s="22"/>
      <c r="K16" s="23"/>
      <c r="L16" s="55"/>
      <c r="M16" s="22"/>
      <c r="N16" s="22"/>
      <c r="O16" s="22" t="s">
        <v>26</v>
      </c>
      <c r="P16" s="51">
        <f>SUM(N13/O13)</f>
        <v>0.74806076423851919</v>
      </c>
      <c r="Q16" s="24"/>
      <c r="R16" s="25" t="s">
        <v>56</v>
      </c>
      <c r="S16" s="43">
        <f>STDEV(P5:P11)</f>
        <v>7.8008429813171909E-2</v>
      </c>
      <c r="T16" s="25"/>
      <c r="U16" s="41"/>
      <c r="V16" s="19"/>
      <c r="W16" s="21"/>
      <c r="X16" s="19"/>
      <c r="Y16" s="19"/>
      <c r="Z16" s="19"/>
    </row>
    <row r="17" spans="1:26" x14ac:dyDescent="0.25">
      <c r="A17" s="29"/>
      <c r="B17" s="29"/>
      <c r="C17" s="30"/>
      <c r="D17" s="29"/>
      <c r="E17" s="31"/>
      <c r="F17" s="28"/>
      <c r="G17" s="29"/>
      <c r="H17" s="29"/>
      <c r="I17" s="28"/>
      <c r="J17" s="28"/>
      <c r="K17" s="32"/>
      <c r="L17" s="56"/>
      <c r="M17" s="28"/>
      <c r="N17" s="28"/>
      <c r="O17" s="28" t="s">
        <v>27</v>
      </c>
      <c r="P17" s="50">
        <f>AVERAGE(P5:P11)</f>
        <v>0.73755047383925976</v>
      </c>
      <c r="Q17" s="33"/>
      <c r="R17" s="34" t="s">
        <v>57</v>
      </c>
      <c r="S17" s="35">
        <f>AVERAGE(T5:T11)</f>
        <v>5.5934310376806611</v>
      </c>
      <c r="T17" s="36" t="s">
        <v>58</v>
      </c>
      <c r="U17" s="29">
        <f>+(S17/P17)</f>
        <v>7.5837942433478549</v>
      </c>
      <c r="V17" s="29"/>
      <c r="W17" s="31"/>
      <c r="X17" s="29"/>
      <c r="Y17" s="29"/>
      <c r="Z17" s="29"/>
    </row>
    <row r="22" spans="1:26" x14ac:dyDescent="0.25">
      <c r="A22" t="s">
        <v>24</v>
      </c>
      <c r="D22" t="s">
        <v>24</v>
      </c>
      <c r="E22" s="2" t="s">
        <v>24</v>
      </c>
      <c r="F22" s="3" t="s">
        <v>24</v>
      </c>
      <c r="G22" t="s">
        <v>24</v>
      </c>
      <c r="H22" t="s">
        <v>24</v>
      </c>
      <c r="I22" s="3" t="s">
        <v>24</v>
      </c>
      <c r="J22" s="3" t="s">
        <v>24</v>
      </c>
      <c r="K22" s="4" t="s">
        <v>24</v>
      </c>
      <c r="M22" s="3" t="s">
        <v>24</v>
      </c>
      <c r="P22" s="4"/>
    </row>
    <row r="23" spans="1:26" x14ac:dyDescent="0.25">
      <c r="A23" s="10" t="s">
        <v>0</v>
      </c>
      <c r="B23" s="10"/>
      <c r="C23" s="10"/>
      <c r="D23" s="10" t="s">
        <v>1</v>
      </c>
      <c r="E23" s="11" t="s">
        <v>2</v>
      </c>
      <c r="F23" s="12" t="s">
        <v>3</v>
      </c>
      <c r="G23" s="10" t="s">
        <v>4</v>
      </c>
      <c r="H23" s="10" t="s">
        <v>5</v>
      </c>
      <c r="I23" s="12" t="s">
        <v>6</v>
      </c>
      <c r="J23" s="12" t="s">
        <v>7</v>
      </c>
      <c r="K23" s="13" t="s">
        <v>8</v>
      </c>
      <c r="L23" s="54"/>
      <c r="M23" s="12" t="s">
        <v>9</v>
      </c>
      <c r="N23" s="12" t="s">
        <v>10</v>
      </c>
      <c r="O23" s="12" t="s">
        <v>11</v>
      </c>
      <c r="P23" s="14" t="s">
        <v>12</v>
      </c>
      <c r="Q23" s="15" t="s">
        <v>13</v>
      </c>
      <c r="R23" s="16" t="s">
        <v>14</v>
      </c>
      <c r="S23" s="17" t="s">
        <v>15</v>
      </c>
      <c r="T23" s="18" t="s">
        <v>16</v>
      </c>
      <c r="U23" s="10" t="s">
        <v>17</v>
      </c>
      <c r="V23" s="10" t="s">
        <v>18</v>
      </c>
      <c r="W23" s="11" t="s">
        <v>19</v>
      </c>
      <c r="X23" s="10" t="s">
        <v>20</v>
      </c>
      <c r="Y23" s="10" t="s">
        <v>21</v>
      </c>
      <c r="Z23" s="10" t="s">
        <v>22</v>
      </c>
    </row>
    <row r="24" spans="1:26" x14ac:dyDescent="0.25">
      <c r="A24" s="40" t="s">
        <v>40</v>
      </c>
      <c r="B24" s="40" t="s">
        <v>48</v>
      </c>
      <c r="C24" s="1" t="s">
        <v>25</v>
      </c>
      <c r="D24" t="s">
        <v>41</v>
      </c>
      <c r="E24" s="2">
        <v>45639</v>
      </c>
      <c r="F24" s="3">
        <v>134000</v>
      </c>
      <c r="G24" t="s">
        <v>23</v>
      </c>
      <c r="H24" t="s">
        <v>28</v>
      </c>
      <c r="I24" s="3">
        <v>134000</v>
      </c>
      <c r="J24" s="3">
        <v>64100</v>
      </c>
      <c r="K24" s="4">
        <f>J24/I24*100</f>
        <v>47.835820895522389</v>
      </c>
      <c r="L24" s="53">
        <v>89338</v>
      </c>
      <c r="M24" s="3">
        <v>17798</v>
      </c>
      <c r="N24" s="3">
        <f>I24-M24</f>
        <v>116202</v>
      </c>
      <c r="O24" s="3">
        <v>95514</v>
      </c>
      <c r="P24" s="5">
        <f>N24/O24</f>
        <v>1.2165965198819022</v>
      </c>
      <c r="T24" s="9">
        <f>ABS($P$17-P24)*100</f>
        <v>47.904604604264243</v>
      </c>
    </row>
    <row r="25" spans="1:26" x14ac:dyDescent="0.25">
      <c r="A25" s="40" t="s">
        <v>34</v>
      </c>
      <c r="B25" s="40" t="s">
        <v>45</v>
      </c>
      <c r="C25" s="1" t="s">
        <v>25</v>
      </c>
      <c r="D25" t="s">
        <v>35</v>
      </c>
      <c r="E25" s="2">
        <v>45645</v>
      </c>
      <c r="F25" s="3">
        <v>463500</v>
      </c>
      <c r="G25" t="s">
        <v>23</v>
      </c>
      <c r="H25" t="s">
        <v>36</v>
      </c>
      <c r="I25" s="3">
        <v>463500</v>
      </c>
      <c r="J25" s="3">
        <v>134100</v>
      </c>
      <c r="K25" s="4">
        <f t="shared" ref="K25" si="4">J25/I25*100</f>
        <v>28.932038834951456</v>
      </c>
      <c r="L25" s="53">
        <v>413537</v>
      </c>
      <c r="M25" s="3">
        <f>36568+10001</f>
        <v>46569</v>
      </c>
      <c r="N25" s="3">
        <f t="shared" ref="N25" si="5">I25-M25</f>
        <v>416931</v>
      </c>
      <c r="O25" s="3">
        <f>361700+3834+53923+3805</f>
        <v>423262</v>
      </c>
      <c r="P25" s="5">
        <f t="shared" ref="P25" si="6">N25/O25</f>
        <v>0.98504236146878288</v>
      </c>
      <c r="T25" s="9">
        <f>ABS($P$17-P25)*100</f>
        <v>24.749188762952311</v>
      </c>
    </row>
  </sheetData>
  <pageMargins left="0.25" right="0.25" top="0.75" bottom="0.75" header="0.3" footer="0.3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Missie Jaster</dc:creator>
  <cp:lastModifiedBy>assessor WatertownTownship</cp:lastModifiedBy>
  <cp:lastPrinted>2025-12-15T17:00:06Z</cp:lastPrinted>
  <dcterms:created xsi:type="dcterms:W3CDTF">2021-11-17T14:27:52Z</dcterms:created>
  <dcterms:modified xsi:type="dcterms:W3CDTF">2026-01-22T16:31:00Z</dcterms:modified>
</cp:coreProperties>
</file>